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4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5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6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7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5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5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5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5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5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K:\HEP\2023 Testületi\"/>
    </mc:Choice>
  </mc:AlternateContent>
  <xr:revisionPtr revIDLastSave="0" documentId="8_{5ACEE1A2-46A6-424C-BCBA-5BDAB769CFF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Q" sheetId="7" state="hidden" r:id="rId1"/>
    <sheet name="Település Bemutatása - Népesség" sheetId="1" r:id="rId2"/>
    <sheet name="3. Mélyszegények-Romák" sheetId="2" r:id="rId3"/>
    <sheet name="4. Gyermekek" sheetId="3" r:id="rId4"/>
    <sheet name="5. Nők" sheetId="4" r:id="rId5"/>
    <sheet name="6. Idősek" sheetId="5" r:id="rId6"/>
    <sheet name="7.Fogyatékkal élők" sheetId="6" r:id="rId7"/>
    <sheet name="Munka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3" l="1"/>
  <c r="AF10" i="3"/>
  <c r="AC10" i="3"/>
  <c r="AF9" i="3"/>
  <c r="AC9" i="3"/>
  <c r="T11" i="4"/>
  <c r="V10" i="4"/>
  <c r="U10" i="4"/>
  <c r="T10" i="4"/>
  <c r="V9" i="4"/>
  <c r="U9" i="4"/>
  <c r="T9" i="4"/>
  <c r="O9" i="4"/>
  <c r="Q9" i="4"/>
  <c r="C10" i="4"/>
  <c r="C11" i="4"/>
  <c r="B11" i="4"/>
  <c r="E10" i="4"/>
  <c r="D10" i="4"/>
  <c r="B10" i="4"/>
  <c r="AO11" i="3"/>
  <c r="AO10" i="3"/>
  <c r="AO9" i="3"/>
  <c r="B9" i="6"/>
  <c r="B8" i="6"/>
  <c r="C8" i="5"/>
  <c r="AK10" i="5"/>
  <c r="AK9" i="5"/>
  <c r="AM9" i="5" s="1"/>
  <c r="AE9" i="5"/>
  <c r="AG8" i="5"/>
  <c r="AF8" i="5"/>
  <c r="AE8" i="5"/>
  <c r="AB13" i="5"/>
  <c r="AB12" i="5"/>
  <c r="AB11" i="5"/>
  <c r="AB10" i="5"/>
  <c r="AB9" i="5"/>
  <c r="AB8" i="5"/>
  <c r="AB7" i="5"/>
  <c r="AB6" i="5"/>
  <c r="AB5" i="5"/>
  <c r="AB4" i="5"/>
  <c r="AB3" i="5"/>
  <c r="AB2" i="5"/>
  <c r="L9" i="5"/>
  <c r="L8" i="5"/>
  <c r="G9" i="5"/>
  <c r="G8" i="5"/>
  <c r="J8" i="5" s="1"/>
  <c r="AH8" i="5" s="1"/>
  <c r="D8" i="5"/>
  <c r="C9" i="5"/>
  <c r="AL10" i="5" s="1"/>
  <c r="D9" i="5"/>
  <c r="B9" i="5"/>
  <c r="B8" i="5"/>
  <c r="K10" i="4"/>
  <c r="M9" i="4"/>
  <c r="L9" i="4"/>
  <c r="K9" i="4"/>
  <c r="G11" i="4"/>
  <c r="I10" i="4"/>
  <c r="H10" i="4"/>
  <c r="G10" i="4"/>
  <c r="CU10" i="3"/>
  <c r="CU9" i="3"/>
  <c r="BU10" i="3"/>
  <c r="BU9" i="3"/>
  <c r="P10" i="3"/>
  <c r="S9" i="3"/>
  <c r="P9" i="3"/>
  <c r="BH10" i="3"/>
  <c r="BH9" i="3"/>
  <c r="BC10" i="3"/>
  <c r="BC9" i="3"/>
  <c r="I10" i="3"/>
  <c r="I9" i="3"/>
  <c r="M10" i="3"/>
  <c r="M9" i="3"/>
  <c r="CB10" i="2"/>
  <c r="CB9" i="2"/>
  <c r="BG10" i="2"/>
  <c r="BG9" i="2"/>
  <c r="BD10" i="2"/>
  <c r="BD9" i="2"/>
  <c r="AV10" i="2"/>
  <c r="BB9" i="2"/>
  <c r="AZ9" i="2"/>
  <c r="AX9" i="2"/>
  <c r="AV9" i="2"/>
  <c r="AP10" i="2"/>
  <c r="AT9" i="2"/>
  <c r="AR9" i="2"/>
  <c r="AP9" i="2"/>
  <c r="AL10" i="2"/>
  <c r="AL9" i="2"/>
  <c r="AH10" i="2"/>
  <c r="AH9" i="2"/>
  <c r="AE10" i="2"/>
  <c r="AF10" i="2" s="1"/>
  <c r="AE11" i="2"/>
  <c r="AF11" i="2" s="1"/>
  <c r="Y11" i="2"/>
  <c r="AD10" i="2"/>
  <c r="AB10" i="2"/>
  <c r="Y10" i="2"/>
  <c r="U11" i="2"/>
  <c r="U10" i="2"/>
  <c r="R2" i="2"/>
  <c r="Q3" i="2"/>
  <c r="Q23" i="2" s="1"/>
  <c r="Q2" i="2"/>
  <c r="E10" i="2"/>
  <c r="E9" i="2"/>
  <c r="A9" i="2"/>
  <c r="V9" i="1"/>
  <c r="S9" i="1"/>
  <c r="V8" i="1"/>
  <c r="S8" i="1"/>
  <c r="N9" i="1"/>
  <c r="Q9" i="1"/>
  <c r="E9" i="5" s="1"/>
  <c r="Q8" i="1"/>
  <c r="E8" i="5" s="1"/>
  <c r="N8" i="1"/>
  <c r="C9" i="1"/>
  <c r="C8" i="1"/>
  <c r="A9" i="1"/>
  <c r="A3" i="1"/>
  <c r="C5" i="1"/>
  <c r="C6" i="1"/>
  <c r="C7" i="1"/>
  <c r="A8" i="1"/>
  <c r="R3" i="2"/>
  <c r="I6" i="1"/>
  <c r="E8" i="6" l="1"/>
  <c r="Q11" i="2"/>
  <c r="Q19" i="2"/>
  <c r="Q9" i="2"/>
  <c r="Q5" i="2"/>
  <c r="Q13" i="2"/>
  <c r="Q21" i="2"/>
  <c r="Q17" i="2"/>
  <c r="Q7" i="2"/>
  <c r="Q15" i="2"/>
  <c r="G8" i="6" l="1"/>
  <c r="G7" i="6"/>
  <c r="G6" i="6"/>
  <c r="G5" i="6"/>
  <c r="G4" i="6"/>
  <c r="G3" i="6"/>
  <c r="H8" i="6"/>
  <c r="B7" i="6"/>
  <c r="H7" i="6" s="1"/>
  <c r="B6" i="6"/>
  <c r="B5" i="6"/>
  <c r="B4" i="6"/>
  <c r="H4" i="6" s="1"/>
  <c r="B3" i="6"/>
  <c r="H3" i="6" s="1"/>
  <c r="AM10" i="5"/>
  <c r="AK8" i="5"/>
  <c r="AM8" i="5" s="1"/>
  <c r="AK7" i="5"/>
  <c r="AM7" i="5" s="1"/>
  <c r="AK6" i="5"/>
  <c r="AM6" i="5" s="1"/>
  <c r="AK5" i="5"/>
  <c r="AM5" i="5" s="1"/>
  <c r="AK4" i="5"/>
  <c r="AM4" i="5" s="1"/>
  <c r="AE7" i="5"/>
  <c r="AE6" i="5"/>
  <c r="AE5" i="5"/>
  <c r="AE4" i="5"/>
  <c r="AE3" i="5"/>
  <c r="L7" i="5"/>
  <c r="L6" i="5"/>
  <c r="L5" i="5"/>
  <c r="L4" i="5"/>
  <c r="L3" i="5"/>
  <c r="G7" i="5"/>
  <c r="G6" i="5"/>
  <c r="G5" i="5"/>
  <c r="G4" i="5"/>
  <c r="G3" i="5"/>
  <c r="B7" i="5"/>
  <c r="B6" i="5"/>
  <c r="B5" i="5"/>
  <c r="B4" i="5"/>
  <c r="B3" i="5"/>
  <c r="V11" i="4"/>
  <c r="V8" i="4"/>
  <c r="V7" i="4"/>
  <c r="V6" i="4"/>
  <c r="V5" i="4"/>
  <c r="V4" i="4"/>
  <c r="U11" i="4"/>
  <c r="U8" i="4"/>
  <c r="U7" i="4"/>
  <c r="U6" i="4"/>
  <c r="U5" i="4"/>
  <c r="U4" i="4"/>
  <c r="X9" i="4"/>
  <c r="X8" i="4"/>
  <c r="X7" i="4"/>
  <c r="X6" i="4"/>
  <c r="X5" i="4"/>
  <c r="X4" i="4"/>
  <c r="T8" i="4"/>
  <c r="T7" i="4"/>
  <c r="T6" i="4"/>
  <c r="T5" i="4"/>
  <c r="T4" i="4"/>
  <c r="O8" i="4"/>
  <c r="O7" i="4"/>
  <c r="O6" i="4"/>
  <c r="O5" i="4"/>
  <c r="O4" i="4"/>
  <c r="K8" i="4"/>
  <c r="K7" i="4"/>
  <c r="K6" i="4"/>
  <c r="K5" i="4"/>
  <c r="K4" i="4"/>
  <c r="G9" i="4"/>
  <c r="G8" i="4"/>
  <c r="G7" i="4"/>
  <c r="G6" i="4"/>
  <c r="G5" i="4"/>
  <c r="B9" i="4"/>
  <c r="B8" i="4"/>
  <c r="B7" i="4"/>
  <c r="B6" i="4"/>
  <c r="B5" i="4"/>
  <c r="CU8" i="3"/>
  <c r="CU7" i="3"/>
  <c r="CU6" i="3"/>
  <c r="CU5" i="3"/>
  <c r="CU4" i="3"/>
  <c r="CN9" i="3"/>
  <c r="CN8" i="3"/>
  <c r="CN7" i="3"/>
  <c r="CN6" i="3"/>
  <c r="CN5" i="3"/>
  <c r="CN4" i="3"/>
  <c r="AF7" i="5" l="1"/>
  <c r="AG6" i="5"/>
  <c r="H5" i="6"/>
  <c r="AF3" i="5"/>
  <c r="S3" i="5"/>
  <c r="H6" i="6"/>
  <c r="AG5" i="5"/>
  <c r="S4" i="5"/>
  <c r="AG3" i="5"/>
  <c r="AG7" i="5"/>
  <c r="AG4" i="5"/>
  <c r="AG9" i="5"/>
  <c r="AF6" i="5" l="1"/>
  <c r="J6" i="5"/>
  <c r="AH6" i="5" s="1"/>
  <c r="AF9" i="5"/>
  <c r="J9" i="5"/>
  <c r="AH9" i="5" s="1"/>
  <c r="AF4" i="5"/>
  <c r="J4" i="5"/>
  <c r="AH4" i="5" s="1"/>
  <c r="J5" i="5"/>
  <c r="AH5" i="5" s="1"/>
  <c r="AF5" i="5"/>
  <c r="J7" i="5"/>
  <c r="AH7" i="5" s="1"/>
  <c r="J3" i="5"/>
  <c r="AH3" i="5" s="1"/>
  <c r="BS4" i="3" l="1"/>
  <c r="CY9" i="3"/>
  <c r="CY8" i="3"/>
  <c r="CY7" i="3"/>
  <c r="CY6" i="3"/>
  <c r="CY5" i="3"/>
  <c r="CY4" i="3"/>
  <c r="CC9" i="3"/>
  <c r="CC8" i="3"/>
  <c r="CC7" i="3"/>
  <c r="CC6" i="3"/>
  <c r="CC5" i="3"/>
  <c r="CC4" i="3"/>
  <c r="BU8" i="3"/>
  <c r="BU7" i="3"/>
  <c r="BU6" i="3"/>
  <c r="BU5" i="3"/>
  <c r="BU4" i="3"/>
  <c r="BM9" i="3"/>
  <c r="BM8" i="3"/>
  <c r="BM7" i="3"/>
  <c r="BM6" i="3"/>
  <c r="BM5" i="3"/>
  <c r="BM4" i="3"/>
  <c r="BH8" i="3"/>
  <c r="BH7" i="3"/>
  <c r="BH6" i="3"/>
  <c r="BH5" i="3"/>
  <c r="BH4" i="3"/>
  <c r="BC8" i="3"/>
  <c r="BC7" i="3"/>
  <c r="BS8" i="3" s="1"/>
  <c r="BC6" i="3"/>
  <c r="BC5" i="3"/>
  <c r="BC4" i="3"/>
  <c r="AS9" i="3"/>
  <c r="AS8" i="3"/>
  <c r="AS7" i="3"/>
  <c r="AS6" i="3"/>
  <c r="AS5" i="3"/>
  <c r="AS4" i="3"/>
  <c r="AO8" i="3"/>
  <c r="AO7" i="3"/>
  <c r="AO6" i="3"/>
  <c r="AO5" i="3"/>
  <c r="AO4" i="3"/>
  <c r="AH9" i="3"/>
  <c r="AH8" i="3"/>
  <c r="AH7" i="3"/>
  <c r="AH6" i="3"/>
  <c r="AH5" i="3"/>
  <c r="AH4" i="3"/>
  <c r="AC8" i="3"/>
  <c r="AC7" i="3"/>
  <c r="AC6" i="3"/>
  <c r="AC5" i="3"/>
  <c r="AC4" i="3"/>
  <c r="U9" i="3"/>
  <c r="U8" i="3"/>
  <c r="U7" i="3"/>
  <c r="U6" i="3"/>
  <c r="U5" i="3"/>
  <c r="U4" i="3"/>
  <c r="P8" i="3"/>
  <c r="P7" i="3"/>
  <c r="P6" i="3"/>
  <c r="P5" i="3"/>
  <c r="P4" i="3"/>
  <c r="M8" i="3"/>
  <c r="M7" i="3"/>
  <c r="M6" i="3"/>
  <c r="M5" i="3"/>
  <c r="M4" i="3"/>
  <c r="Z9" i="4"/>
  <c r="I8" i="3"/>
  <c r="I7" i="3"/>
  <c r="I6" i="3"/>
  <c r="I5" i="3"/>
  <c r="I4" i="3"/>
  <c r="CM1" i="2"/>
  <c r="F1" i="1"/>
  <c r="C5" i="3"/>
  <c r="CJ8" i="2"/>
  <c r="CJ7" i="2"/>
  <c r="CJ6" i="2"/>
  <c r="CJ5" i="2"/>
  <c r="CJ4" i="2"/>
  <c r="CJ3" i="2"/>
  <c r="CB8" i="2"/>
  <c r="CB7" i="2"/>
  <c r="CB6" i="2"/>
  <c r="CB5" i="2"/>
  <c r="CB4" i="2"/>
  <c r="BX9" i="2"/>
  <c r="BX8" i="2"/>
  <c r="BX7" i="2"/>
  <c r="BX6" i="2"/>
  <c r="BX5" i="2"/>
  <c r="BX4" i="2"/>
  <c r="BO9" i="2"/>
  <c r="BO8" i="2"/>
  <c r="BO7" i="2"/>
  <c r="BO6" i="2"/>
  <c r="BO5" i="2"/>
  <c r="BO4" i="2"/>
  <c r="BG8" i="2"/>
  <c r="BG7" i="2"/>
  <c r="BG6" i="2"/>
  <c r="BG5" i="2"/>
  <c r="BG4" i="2"/>
  <c r="BD8" i="2"/>
  <c r="BD7" i="2"/>
  <c r="BD6" i="2"/>
  <c r="BD5" i="2"/>
  <c r="BD4" i="2"/>
  <c r="AV8" i="2"/>
  <c r="AV7" i="2"/>
  <c r="AV6" i="2"/>
  <c r="AV5" i="2"/>
  <c r="AV4" i="2"/>
  <c r="CH4" i="2" s="1"/>
  <c r="AP8" i="2"/>
  <c r="AP7" i="2"/>
  <c r="AP6" i="2"/>
  <c r="AP5" i="2"/>
  <c r="AP4" i="2"/>
  <c r="AL8" i="2"/>
  <c r="AL7" i="2"/>
  <c r="AL6" i="2"/>
  <c r="AL5" i="2"/>
  <c r="AL4" i="2"/>
  <c r="AH8" i="2"/>
  <c r="AH7" i="2"/>
  <c r="M7" i="4" s="1"/>
  <c r="AH6" i="2"/>
  <c r="AH5" i="2"/>
  <c r="AH4" i="2"/>
  <c r="Y9" i="2"/>
  <c r="Y8" i="2"/>
  <c r="Y7" i="2"/>
  <c r="Y6" i="2"/>
  <c r="Y5" i="2"/>
  <c r="U9" i="2"/>
  <c r="U8" i="2"/>
  <c r="U7" i="2"/>
  <c r="U6" i="2"/>
  <c r="U5" i="2"/>
  <c r="E8" i="2"/>
  <c r="E7" i="2"/>
  <c r="E6" i="2"/>
  <c r="E5" i="2"/>
  <c r="E4" i="2"/>
  <c r="H11" i="4"/>
  <c r="H9" i="4"/>
  <c r="H8" i="4"/>
  <c r="H7" i="4"/>
  <c r="H6" i="4"/>
  <c r="AC10" i="5"/>
  <c r="P2" i="2"/>
  <c r="O2" i="2"/>
  <c r="N2" i="2"/>
  <c r="Y6" i="5" s="1"/>
  <c r="M2" i="2"/>
  <c r="L2" i="2"/>
  <c r="A8" i="2"/>
  <c r="A7" i="2"/>
  <c r="D8" i="4" s="1"/>
  <c r="A6" i="2"/>
  <c r="D7" i="4" s="1"/>
  <c r="A5" i="2"/>
  <c r="A4" i="2"/>
  <c r="H9" i="2" l="1"/>
  <c r="Y6" i="4"/>
  <c r="AE5" i="2"/>
  <c r="I5" i="4"/>
  <c r="L10" i="4"/>
  <c r="H5" i="4"/>
  <c r="L6" i="4"/>
  <c r="AF4" i="3"/>
  <c r="Z4" i="4"/>
  <c r="AV8" i="3"/>
  <c r="AA8" i="4" s="1"/>
  <c r="AX5" i="3"/>
  <c r="AC5" i="4" s="1"/>
  <c r="AE5" i="4"/>
  <c r="BO9" i="3"/>
  <c r="BQ9" i="3"/>
  <c r="I7" i="4"/>
  <c r="Y5" i="4"/>
  <c r="Z8" i="4"/>
  <c r="AV9" i="3"/>
  <c r="AA9" i="4" s="1"/>
  <c r="AX8" i="3"/>
  <c r="AC8" i="4" s="1"/>
  <c r="AE8" i="4"/>
  <c r="BO4" i="3"/>
  <c r="BQ4" i="3"/>
  <c r="BS9" i="3"/>
  <c r="CI6" i="3"/>
  <c r="X6" i="5"/>
  <c r="I9" i="4"/>
  <c r="AV4" i="3"/>
  <c r="AA4" i="4" s="1"/>
  <c r="AB7" i="4"/>
  <c r="AX9" i="3"/>
  <c r="AC9" i="4" s="1"/>
  <c r="AE9" i="4"/>
  <c r="BO5" i="3"/>
  <c r="BQ5" i="3"/>
  <c r="CJ4" i="3"/>
  <c r="AE9" i="2"/>
  <c r="Y10" i="5"/>
  <c r="L5" i="4"/>
  <c r="Y9" i="4"/>
  <c r="AV5" i="3"/>
  <c r="AA5" i="4" s="1"/>
  <c r="AX4" i="3"/>
  <c r="AC4" i="4" s="1"/>
  <c r="AE4" i="4"/>
  <c r="AF7" i="4"/>
  <c r="BO8" i="3"/>
  <c r="BQ8" i="3"/>
  <c r="CJ8" i="3"/>
  <c r="M4" i="4"/>
  <c r="M8" i="4"/>
  <c r="W10" i="5"/>
  <c r="W2" i="5"/>
  <c r="AA10" i="5"/>
  <c r="AA2" i="5"/>
  <c r="I8" i="4"/>
  <c r="AE6" i="2"/>
  <c r="L7" i="4"/>
  <c r="M5" i="4"/>
  <c r="M10" i="4"/>
  <c r="Z6" i="4"/>
  <c r="CJ6" i="3"/>
  <c r="AE6" i="4"/>
  <c r="AC6" i="4"/>
  <c r="AA6" i="4"/>
  <c r="BS7" i="3"/>
  <c r="BQ6" i="3"/>
  <c r="BO6" i="3"/>
  <c r="Z7" i="4"/>
  <c r="AD6" i="4"/>
  <c r="CJ7" i="3"/>
  <c r="AE7" i="4"/>
  <c r="AX7" i="3"/>
  <c r="AC7" i="4" s="1"/>
  <c r="AA7" i="4"/>
  <c r="Y7" i="4"/>
  <c r="CI7" i="3"/>
  <c r="BQ7" i="3"/>
  <c r="BO7" i="3"/>
  <c r="AY7" i="3"/>
  <c r="AD7" i="4" s="1"/>
  <c r="Z12" i="5"/>
  <c r="Z2" i="5"/>
  <c r="X12" i="5"/>
  <c r="X2" i="5"/>
  <c r="AC12" i="5"/>
  <c r="AC2" i="5"/>
  <c r="AC6" i="5"/>
  <c r="L4" i="4"/>
  <c r="L8" i="4"/>
  <c r="M6" i="4"/>
  <c r="Y12" i="5"/>
  <c r="Y2" i="5"/>
  <c r="X10" i="5"/>
  <c r="I6" i="4"/>
  <c r="I11" i="4"/>
  <c r="CH5" i="2"/>
  <c r="BZ5" i="2"/>
  <c r="AE8" i="2"/>
  <c r="BZ4" i="2"/>
  <c r="AB6" i="4"/>
  <c r="AF6" i="4"/>
  <c r="CF9" i="3"/>
  <c r="CH9" i="3"/>
  <c r="CJ5" i="3"/>
  <c r="CJ9" i="3"/>
  <c r="DC4" i="3"/>
  <c r="Z5" i="4"/>
  <c r="AW4" i="3"/>
  <c r="AB4" i="4" s="1"/>
  <c r="AW8" i="3"/>
  <c r="AB8" i="4" s="1"/>
  <c r="AY4" i="3"/>
  <c r="AD4" i="4" s="1"/>
  <c r="AY8" i="3"/>
  <c r="AD8" i="4" s="1"/>
  <c r="BA4" i="3"/>
  <c r="AF4" i="4" s="1"/>
  <c r="AF8" i="4"/>
  <c r="BS5" i="3"/>
  <c r="BS6" i="3"/>
  <c r="CI4" i="3"/>
  <c r="CI8" i="3"/>
  <c r="Y8" i="4"/>
  <c r="Y4" i="4"/>
  <c r="AW5" i="3"/>
  <c r="AB5" i="4" s="1"/>
  <c r="AW9" i="3"/>
  <c r="AB9" i="4" s="1"/>
  <c r="AY5" i="3"/>
  <c r="AD5" i="4" s="1"/>
  <c r="AY9" i="3"/>
  <c r="AD9" i="4" s="1"/>
  <c r="BA5" i="3"/>
  <c r="AF5" i="4" s="1"/>
  <c r="AF9" i="4"/>
  <c r="CE9" i="3"/>
  <c r="CG9" i="3"/>
  <c r="CI5" i="3"/>
  <c r="CI9" i="3"/>
  <c r="AE7" i="2"/>
  <c r="D5" i="4"/>
  <c r="D9" i="4"/>
  <c r="W8" i="5"/>
  <c r="AA8" i="5"/>
  <c r="H7" i="2"/>
  <c r="X4" i="5"/>
  <c r="AC4" i="5"/>
  <c r="Z6" i="5"/>
  <c r="X8" i="5"/>
  <c r="AC8" i="5"/>
  <c r="Z10" i="5"/>
  <c r="L6" i="2"/>
  <c r="W4" i="5"/>
  <c r="AA4" i="5"/>
  <c r="W12" i="5"/>
  <c r="AA12" i="5"/>
  <c r="H4" i="2"/>
  <c r="H8" i="2"/>
  <c r="Y4" i="5"/>
  <c r="W6" i="5"/>
  <c r="AA6" i="5"/>
  <c r="Y8" i="5"/>
  <c r="Z4" i="5"/>
  <c r="Z8" i="5"/>
  <c r="V7" i="1"/>
  <c r="V6" i="1"/>
  <c r="V5" i="1"/>
  <c r="V4" i="1"/>
  <c r="V3" i="1"/>
  <c r="S7" i="1"/>
  <c r="S6" i="1"/>
  <c r="S5" i="1"/>
  <c r="S4" i="1"/>
  <c r="S3" i="1"/>
  <c r="N7" i="1"/>
  <c r="N6" i="1"/>
  <c r="N5" i="1"/>
  <c r="N4" i="1"/>
  <c r="N3" i="1"/>
  <c r="D8" i="3"/>
  <c r="C8" i="3"/>
  <c r="D7" i="3"/>
  <c r="C7" i="3"/>
  <c r="E6" i="3"/>
  <c r="D5" i="3"/>
  <c r="C6" i="4" l="1"/>
  <c r="H5" i="2"/>
  <c r="E6" i="4" s="1"/>
  <c r="H10" i="2"/>
  <c r="E11" i="4" s="1"/>
  <c r="C7" i="4"/>
  <c r="H6" i="2"/>
  <c r="E7" i="4" s="1"/>
  <c r="D6" i="4"/>
  <c r="E8" i="4"/>
  <c r="C8" i="4"/>
  <c r="E9" i="4"/>
  <c r="C9" i="4"/>
  <c r="E5" i="4"/>
  <c r="C5" i="4"/>
  <c r="D11" i="4"/>
  <c r="A7" i="1"/>
  <c r="A6" i="1"/>
  <c r="A5" i="1"/>
  <c r="A4" i="1"/>
  <c r="D3" i="5" l="1"/>
  <c r="D7" i="5"/>
  <c r="D4" i="5"/>
  <c r="D5" i="5"/>
  <c r="D6" i="5"/>
  <c r="C3" i="5"/>
  <c r="AL4" i="5" s="1"/>
  <c r="C5" i="5"/>
  <c r="AL6" i="5" s="1"/>
  <c r="C6" i="5"/>
  <c r="AL7" i="5" s="1"/>
  <c r="C4" i="5"/>
  <c r="AL5" i="5" s="1"/>
  <c r="AR7" i="2" l="1"/>
  <c r="C7" i="5"/>
  <c r="AL8" i="5" s="1"/>
  <c r="Q7" i="1"/>
  <c r="E7" i="5" s="1"/>
  <c r="AR5" i="2"/>
  <c r="AR6" i="2"/>
  <c r="AR8" i="2"/>
  <c r="AR4" i="2"/>
  <c r="E8" i="3"/>
  <c r="E7" i="3"/>
  <c r="E5" i="3"/>
  <c r="P5" i="4" l="1"/>
  <c r="Q5" i="4"/>
  <c r="P6" i="4"/>
  <c r="Q6" i="4"/>
  <c r="P7" i="4"/>
  <c r="Q7" i="4"/>
  <c r="P8" i="4"/>
  <c r="Q8" i="4"/>
  <c r="P9" i="4"/>
  <c r="Q4" i="4"/>
  <c r="P4" i="4"/>
  <c r="S10" i="3" l="1"/>
  <c r="S8" i="3"/>
  <c r="S7" i="3"/>
  <c r="S6" i="3"/>
  <c r="S5" i="3"/>
  <c r="S4" i="3"/>
  <c r="I4" i="1"/>
  <c r="J6" i="1" s="1"/>
  <c r="BP9" i="2"/>
  <c r="BP8" i="2"/>
  <c r="BP7" i="2"/>
  <c r="BP6" i="2"/>
  <c r="BP5" i="2"/>
  <c r="BP4" i="2"/>
  <c r="BB10" i="2" l="1"/>
  <c r="BB8" i="2"/>
  <c r="BB7" i="2"/>
  <c r="BB6" i="2"/>
  <c r="BB5" i="2"/>
  <c r="BB4" i="2"/>
  <c r="AZ10" i="2"/>
  <c r="AZ8" i="2"/>
  <c r="AZ7" i="2"/>
  <c r="AZ6" i="2"/>
  <c r="AZ5" i="2"/>
  <c r="AZ4" i="2"/>
  <c r="AX10" i="2"/>
  <c r="AX8" i="2"/>
  <c r="AX7" i="2"/>
  <c r="AX6" i="2"/>
  <c r="AX5" i="2"/>
  <c r="AX4" i="2"/>
  <c r="AT10" i="2"/>
  <c r="AT8" i="2"/>
  <c r="AT7" i="2"/>
  <c r="AT6" i="2"/>
  <c r="AT5" i="2"/>
  <c r="AT4" i="2"/>
  <c r="AC3" i="5" l="1"/>
  <c r="P3" i="2"/>
  <c r="AA3" i="5" s="1"/>
  <c r="O3" i="2"/>
  <c r="Z3" i="5" s="1"/>
  <c r="N3" i="2"/>
  <c r="Y3" i="5" s="1"/>
  <c r="M3" i="2"/>
  <c r="X3" i="5" s="1"/>
  <c r="L3" i="2"/>
  <c r="W3" i="5" s="1"/>
  <c r="Q6" i="1"/>
  <c r="E6" i="5" s="1"/>
  <c r="Q5" i="1"/>
  <c r="E5" i="5" s="1"/>
  <c r="Q4" i="1"/>
  <c r="E4" i="5" s="1"/>
  <c r="Q3" i="1"/>
  <c r="E3" i="5" s="1"/>
  <c r="J5" i="1"/>
  <c r="F6" i="3" s="1"/>
  <c r="J4" i="1"/>
  <c r="F5" i="3" s="1"/>
  <c r="L21" i="2" l="1"/>
  <c r="W11" i="5" s="1"/>
  <c r="L23" i="2"/>
  <c r="W13" i="5" s="1"/>
  <c r="L19" i="2"/>
  <c r="W9" i="5" s="1"/>
  <c r="P21" i="2"/>
  <c r="AA11" i="5" s="1"/>
  <c r="P23" i="2"/>
  <c r="AA13" i="5" s="1"/>
  <c r="P19" i="2"/>
  <c r="AA9" i="5" s="1"/>
  <c r="N23" i="2"/>
  <c r="Y13" i="5" s="1"/>
  <c r="N19" i="2"/>
  <c r="Y9" i="5" s="1"/>
  <c r="N21" i="2"/>
  <c r="Y11" i="5" s="1"/>
  <c r="O23" i="2"/>
  <c r="Z13" i="5" s="1"/>
  <c r="O21" i="2"/>
  <c r="Z11" i="5" s="1"/>
  <c r="O19" i="2"/>
  <c r="Z9" i="5" s="1"/>
  <c r="M21" i="2"/>
  <c r="X11" i="5" s="1"/>
  <c r="M23" i="2"/>
  <c r="X13" i="5" s="1"/>
  <c r="M19" i="2"/>
  <c r="X9" i="5" s="1"/>
  <c r="R23" i="2"/>
  <c r="AC13" i="5" s="1"/>
  <c r="R19" i="2"/>
  <c r="AC9" i="5" s="1"/>
  <c r="R21" i="2"/>
  <c r="AC11" i="5" s="1"/>
  <c r="AB8" i="2"/>
  <c r="O13" i="2"/>
  <c r="AD5" i="2"/>
  <c r="AD7" i="2"/>
  <c r="AF6" i="2"/>
  <c r="AB11" i="2"/>
  <c r="AB7" i="2"/>
  <c r="AF8" i="2"/>
  <c r="AF5" i="2"/>
  <c r="AB5" i="2"/>
  <c r="AF9" i="2"/>
  <c r="AB9" i="2"/>
  <c r="AD9" i="2"/>
  <c r="AD11" i="2"/>
  <c r="L17" i="2"/>
  <c r="W7" i="5" s="1"/>
  <c r="L11" i="2"/>
  <c r="L9" i="2"/>
  <c r="L13" i="2"/>
  <c r="L7" i="2"/>
  <c r="L15" i="2"/>
  <c r="W5" i="5" s="1"/>
  <c r="N7" i="2"/>
  <c r="N15" i="2"/>
  <c r="Y5" i="5" s="1"/>
  <c r="P9" i="2"/>
  <c r="R5" i="2"/>
  <c r="R11" i="2"/>
  <c r="R15" i="2"/>
  <c r="AC5" i="5" s="1"/>
  <c r="R9" i="2"/>
  <c r="R13" i="2"/>
  <c r="R7" i="2"/>
  <c r="R17" i="2"/>
  <c r="AC7" i="5" s="1"/>
  <c r="P7" i="2"/>
  <c r="P17" i="2"/>
  <c r="AA7" i="5" s="1"/>
  <c r="P13" i="2"/>
  <c r="P15" i="2"/>
  <c r="AA5" i="5" s="1"/>
  <c r="P11" i="2"/>
  <c r="O17" i="2"/>
  <c r="Z7" i="5" s="1"/>
  <c r="O15" i="2"/>
  <c r="Z5" i="5" s="1"/>
  <c r="O7" i="2"/>
  <c r="O9" i="2"/>
  <c r="O11" i="2"/>
  <c r="N9" i="2"/>
  <c r="N17" i="2"/>
  <c r="Y7" i="5" s="1"/>
  <c r="N11" i="2"/>
  <c r="N13" i="2"/>
  <c r="M9" i="2"/>
  <c r="M13" i="2"/>
  <c r="M17" i="2"/>
  <c r="X7" i="5" s="1"/>
  <c r="M7" i="2"/>
  <c r="M11" i="2"/>
  <c r="M15" i="2"/>
  <c r="X5" i="5" s="1"/>
  <c r="L5" i="2"/>
  <c r="P5" i="2"/>
  <c r="O5" i="2"/>
  <c r="N5" i="2"/>
  <c r="M5" i="2"/>
  <c r="AD6" i="2" l="1"/>
  <c r="AD8" i="2"/>
  <c r="AF7" i="2"/>
  <c r="AB6" i="2"/>
  <c r="I10" i="1"/>
  <c r="I9" i="1"/>
  <c r="I8" i="1"/>
  <c r="I7" i="1"/>
  <c r="K4" i="1"/>
  <c r="G5" i="3" s="1"/>
  <c r="C4" i="1"/>
  <c r="J8" i="1" l="1"/>
  <c r="K9" i="1"/>
  <c r="J7" i="1"/>
  <c r="F8" i="3" s="1"/>
  <c r="K8" i="1"/>
  <c r="F7" i="3"/>
  <c r="K7" i="1"/>
  <c r="G8" i="3" s="1"/>
  <c r="J10" i="1"/>
  <c r="K6" i="1"/>
  <c r="G7" i="3" s="1"/>
  <c r="J9" i="1"/>
  <c r="K10" i="1"/>
  <c r="E5" i="6" l="1"/>
  <c r="E6" i="6" l="1"/>
  <c r="E3" i="6"/>
  <c r="E7" i="6"/>
  <c r="E4" i="6"/>
  <c r="E9" i="6"/>
  <c r="AF5" i="3"/>
  <c r="R5" i="4" s="1"/>
  <c r="AF11" i="3"/>
  <c r="R9" i="4" s="1"/>
  <c r="R4" i="4"/>
  <c r="AF8" i="3"/>
  <c r="R8" i="4" s="1"/>
  <c r="AF7" i="3"/>
  <c r="R7" i="4" s="1"/>
  <c r="AF6" i="3"/>
  <c r="R6" i="4" s="1"/>
</calcChain>
</file>

<file path=xl/sharedStrings.xml><?xml version="1.0" encoding="utf-8"?>
<sst xmlns="http://schemas.openxmlformats.org/spreadsheetml/2006/main" count="563" uniqueCount="267">
  <si>
    <t>1. számú táblázat - Lakónépesség száma az év végén</t>
  </si>
  <si>
    <t>3. számú táblázat - Öregedési index</t>
  </si>
  <si>
    <t>4. számú táblázat - Belföldi vándorlások</t>
  </si>
  <si>
    <t>5. számú táblázat - Természetes szaporodás</t>
  </si>
  <si>
    <t>Év</t>
  </si>
  <si>
    <t>Változás</t>
  </si>
  <si>
    <t xml:space="preserve">Korcsoport </t>
  </si>
  <si>
    <t>Fő</t>
  </si>
  <si>
    <t>Az állandó népességből a megfelelő korcsoportú nők és férfiak aránya (%)</t>
  </si>
  <si>
    <t>Férfiak</t>
  </si>
  <si>
    <t>Nők</t>
  </si>
  <si>
    <t>Forrás: TeIR, KSH-TSTAR</t>
  </si>
  <si>
    <t>3.2.2. számú táblázat - Nyilvántartott álláskeresők száma korcsoportok szerint</t>
  </si>
  <si>
    <t>Év </t>
  </si>
  <si>
    <t>Nyilvántartott álláskeresők száma összesen</t>
  </si>
  <si>
    <t>Fő összesen</t>
  </si>
  <si>
    <t>Összesen</t>
  </si>
  <si>
    <t>%</t>
  </si>
  <si>
    <t>Forrás: TeIR, Nemzeti Munkaügyi Hivatal</t>
  </si>
  <si>
    <t>Nyilvántartottak 
%-ában</t>
  </si>
  <si>
    <t>Nyilvántartottak  
%-ában</t>
  </si>
  <si>
    <t>3.1. számú táblázat - Jövedelmi helyzet</t>
  </si>
  <si>
    <t>3.4.1. számú táblázat - Lakásállomány</t>
  </si>
  <si>
    <t>Ebből elégtelen lakhatási körülményeket biztosító lakások száma</t>
  </si>
  <si>
    <t>Bérlakás állomány (db)</t>
  </si>
  <si>
    <t>Szociális lakásállomány (db)</t>
  </si>
  <si>
    <t>Egyéb lakáscélra használt nem lakáscélú ingatlanok (db)</t>
  </si>
  <si>
    <t>Forrás: TeIR, KSH Tstar, önkormányzati adatok</t>
  </si>
  <si>
    <t>Forrás: TeIR, KSH Tstar</t>
  </si>
  <si>
    <t>3.4.3. számú táblázat - Lakhatást segítő támogatások</t>
  </si>
  <si>
    <t>Forrás: TeIR, KSH Tstar, Önkormányzati adatok</t>
  </si>
  <si>
    <t xml:space="preserve"> Ingyenes étkezésben résztvevők száma óvoda</t>
  </si>
  <si>
    <t>Ingyenes étkezésben résztvevők száma iskola 1-8. évfolyam</t>
  </si>
  <si>
    <t>50 százalékos mértékű kedvezményes étkezésre jogosultak száma 1-13. évfolyam</t>
  </si>
  <si>
    <t xml:space="preserve"> Ingyenes tankönyv-ellátásban részesülők száma</t>
  </si>
  <si>
    <t xml:space="preserve">Óvodáztatási támogatásban részesülők száma </t>
  </si>
  <si>
    <t>Nyári étkeztetésben részesülők száma</t>
  </si>
  <si>
    <t>Általános iskolai tanulók száma a nappali oktatásban</t>
  </si>
  <si>
    <t>4.3.1. számú táblázat – Védőnői álláshelyek száma</t>
  </si>
  <si>
    <t>0-3 év közötti gyermekek száma</t>
  </si>
  <si>
    <t>Átlagos gyermekszám védőnőnként</t>
  </si>
  <si>
    <t>4.3.2. számú táblázat – Gyermekorvosi ellátás</t>
  </si>
  <si>
    <t xml:space="preserve">Gyermekorvos által ellátott gyerekek száma </t>
  </si>
  <si>
    <t xml:space="preserve">Felnőtt házi orvos által ellátott gyerekek száma </t>
  </si>
  <si>
    <t>Forrás: TeIR, KSH Tstar, Önkormányzati adatgyűjtés</t>
  </si>
  <si>
    <t>Működő, önkormányzati bölcsődei férőhelyek száma</t>
  </si>
  <si>
    <t>db</t>
  </si>
  <si>
    <t>Az óvoda nyitvatartási ideje (...h-tól ...h-ig):</t>
  </si>
  <si>
    <t>Személyi feltételek</t>
  </si>
  <si>
    <t>Hiányzó létszám</t>
  </si>
  <si>
    <t>Óvodapedagógusok száma</t>
  </si>
  <si>
    <t>Ebből diplomás óvodapedagógusok száma</t>
  </si>
  <si>
    <t>Gyógypedagógusok létszáma</t>
  </si>
  <si>
    <t>Dajka/gondozónő</t>
  </si>
  <si>
    <t>Kisegítő személyzet</t>
  </si>
  <si>
    <t xml:space="preserve">4.4.2. számú táblázat - Óvodai nevelés adatai </t>
  </si>
  <si>
    <t>3-6 éves korú gyermekek száma</t>
  </si>
  <si>
    <t>Tanév</t>
  </si>
  <si>
    <t>fő</t>
  </si>
  <si>
    <t>4.4.4. számú táblázat - Általános iskolák adatai: osztályok, gyógypedagógiai osztályok, feladatellátási helyek</t>
  </si>
  <si>
    <t>Biztos kezdet gyerekházat rendszeresen igénybe vevő gyermekek száma</t>
  </si>
  <si>
    <t>Tanoda szolgáltatást rendszeresen igénybe vevő gyermekek száma</t>
  </si>
  <si>
    <t>Család- és gyermekjóléti szolgáltatást igénybe vevő kiskorúak száma</t>
  </si>
  <si>
    <t>Regisztrált munkanélküliek/nyilvántartott álláskeresők megoszlása iskolai végzettség szerint</t>
  </si>
  <si>
    <t> Fő</t>
  </si>
  <si>
    <t>3.2.4. számú táblázat - Regisztrált munkanélküliek/nyilvántartott álláskeresők száma iskolai végzettség szerint</t>
  </si>
  <si>
    <t>Összes nyugdíjas</t>
  </si>
  <si>
    <t>Árvaellátásban
 részesülők összesen</t>
  </si>
  <si>
    <t>4.1.3. számú táblázat - Árvaellátás</t>
  </si>
  <si>
    <t>3.6.1. számú táblázat – Egészségügyi ellátás</t>
  </si>
  <si>
    <t>7.1.2. számú táblázat - Nappali ellátásban részesülő 
fogyatékkal élők száma</t>
  </si>
  <si>
    <t xml:space="preserve">Forrás: TeIR, KSH Tstar; és helyi adatszolgáltatók </t>
  </si>
  <si>
    <r>
      <t xml:space="preserve">3.4.2. számú táblázat - Bérlakás és szociális lakás állomány </t>
    </r>
    <r>
      <rPr>
        <b/>
        <sz val="11"/>
        <color rgb="FF0070C0"/>
        <rFont val="Calibri"/>
        <family val="2"/>
        <charset val="238"/>
        <scheme val="minor"/>
      </rPr>
      <t>opcionális (önkormányzati adatok)</t>
    </r>
  </si>
  <si>
    <t>bázis év</t>
  </si>
  <si>
    <t>n.a.</t>
  </si>
  <si>
    <t>15-64 év közötti népesség  %-ában</t>
  </si>
  <si>
    <t>van/nincs</t>
  </si>
  <si>
    <t>A nyári óvoda-bezárás időtartama (nap)</t>
  </si>
  <si>
    <t>Az óvoda telephelyeinek száma (db)</t>
  </si>
  <si>
    <t>Hány településről járnak be a gyermekek (db)</t>
  </si>
  <si>
    <t>Óvodai férőhelyek száma (fő)</t>
  </si>
  <si>
    <t>Óvodai gyermekcsoportok száma (gyógypedagógiai neveléssel együtt) (db)</t>
  </si>
  <si>
    <t>3.3.3. számú táblázat - Egészségkárosodási és gyermekfelügyeleti támogatás</t>
  </si>
  <si>
    <t>3.6.2. Népkonyha</t>
  </si>
  <si>
    <t>Forrás: Önkormányzati adat</t>
  </si>
  <si>
    <t>Népkonyhán kiosztott  
ételadagok száma (db)</t>
  </si>
  <si>
    <t xml:space="preserve">4.4. a) 1.számú táblázat -  Hátrányos és halmozottan hátrányos helyzetű óvodás gyermekek </t>
  </si>
  <si>
    <t xml:space="preserve">4.4. a) 2. számú táblázat -   Hátrányos és halmozottan hátrányos helyzetű általános iskolai tanulók </t>
  </si>
  <si>
    <t xml:space="preserve">4.4. a) 3. számú táblázat -   Hátrányos és halmozottan hátrányos helyzet a középszintű oktatásban </t>
  </si>
  <si>
    <t>4.4.6. számú táblázat - Gyermekjóléti, hátránykompenzáló szolgáltatások</t>
  </si>
  <si>
    <t>6.1.1. számú táblázat – Nyugdíjban, ellátásban, járadékban és egyéb járandóságban részesülők száma</t>
  </si>
  <si>
    <t>4.4. a) 4. számú táblázat -  Hátrányos és halmozottan hátrányos helyzet</t>
  </si>
  <si>
    <t>Forrás: TeIR, KSH</t>
  </si>
  <si>
    <r>
      <t xml:space="preserve">Fő
</t>
    </r>
    <r>
      <rPr>
        <sz val="11"/>
        <rFont val="Calibri"/>
        <family val="2"/>
        <charset val="238"/>
      </rPr>
      <t>(TS 001)</t>
    </r>
  </si>
  <si>
    <r>
      <t xml:space="preserve">Összesen
</t>
    </r>
    <r>
      <rPr>
        <sz val="11"/>
        <rFont val="Calibri"/>
        <family val="2"/>
        <charset val="238"/>
      </rPr>
      <t>(TS 003)</t>
    </r>
  </si>
  <si>
    <r>
      <t xml:space="preserve">Férfiak
</t>
    </r>
    <r>
      <rPr>
        <sz val="11"/>
        <rFont val="Calibri"/>
        <family val="2"/>
        <charset val="238"/>
      </rPr>
      <t>(TS 005)</t>
    </r>
  </si>
  <si>
    <r>
      <rPr>
        <b/>
        <sz val="11"/>
        <rFont val="Calibri"/>
        <family val="2"/>
        <charset val="238"/>
      </rPr>
      <t xml:space="preserve">Állandó népesség száma </t>
    </r>
    <r>
      <rPr>
        <sz val="11"/>
        <rFont val="Calibri"/>
        <family val="2"/>
        <charset val="238"/>
      </rPr>
      <t>(férfiak TS 004, nők TS 006)</t>
    </r>
  </si>
  <si>
    <r>
      <t xml:space="preserve">Nők
</t>
    </r>
    <r>
      <rPr>
        <sz val="11"/>
        <rFont val="Calibri"/>
        <family val="2"/>
        <charset val="238"/>
      </rPr>
      <t>(TS 007)</t>
    </r>
  </si>
  <si>
    <r>
      <rPr>
        <b/>
        <sz val="11"/>
        <rFont val="Calibri"/>
        <family val="2"/>
        <charset val="238"/>
      </rPr>
      <t>0-2 évesek</t>
    </r>
    <r>
      <rPr>
        <sz val="11"/>
        <rFont val="Calibri"/>
        <family val="2"/>
        <charset val="238"/>
      </rPr>
      <t xml:space="preserve"> (összes száma TS 008, aránya TS 009)</t>
    </r>
  </si>
  <si>
    <r>
      <t xml:space="preserve">0-14 éves korú állandó lakosok száma (fő)
</t>
    </r>
    <r>
      <rPr>
        <sz val="11"/>
        <rFont val="Calibri"/>
        <family val="2"/>
        <charset val="238"/>
      </rPr>
      <t>(TS 010 és TS 012 összesen)</t>
    </r>
  </si>
  <si>
    <r>
      <t xml:space="preserve">Az élve születések és halálozások különbözetének 1000 lakosra vetített száma (fő)
</t>
    </r>
    <r>
      <rPr>
        <sz val="11"/>
        <rFont val="Calibri"/>
        <family val="2"/>
        <charset val="238"/>
      </rPr>
      <t>(TS 032)</t>
    </r>
  </si>
  <si>
    <r>
      <t xml:space="preserve">Általános iskolai végzettség </t>
    </r>
    <r>
      <rPr>
        <sz val="11"/>
        <rFont val="Calibri"/>
        <family val="2"/>
        <charset val="238"/>
      </rPr>
      <t>(TS 035)</t>
    </r>
  </si>
  <si>
    <r>
      <t xml:space="preserve">Nyilvántartott álláskeresők száma
</t>
    </r>
    <r>
      <rPr>
        <sz val="11"/>
        <rFont val="Calibri"/>
        <family val="2"/>
        <charset val="238"/>
      </rPr>
      <t>(TS 052)</t>
    </r>
  </si>
  <si>
    <r>
      <t xml:space="preserve">180 napnál hosszabb ideje regisztrált munkanélküliek aránya </t>
    </r>
    <r>
      <rPr>
        <sz val="11"/>
        <rFont val="Calibri"/>
        <family val="2"/>
        <charset val="238"/>
      </rPr>
      <t>(TS 057)</t>
    </r>
  </si>
  <si>
    <t>Az SZJA adófizetők 
száma</t>
  </si>
  <si>
    <t>3.2.3. számú tábla - A 180 napnál hosszabb ideje nyilvántartott álláskeresők aránya</t>
  </si>
  <si>
    <t xml:space="preserve">8 általánosnál magasabb iskolai végzettség </t>
  </si>
  <si>
    <t>7.1.1 számú táblázat - Megváltozott munkaképességű személyek ellátásaiban részesülők száma nemenként</t>
  </si>
  <si>
    <r>
      <t>Megváltozott munkaképességű személyek ellátásaiban részesülők száma - Férfiak</t>
    </r>
    <r>
      <rPr>
        <sz val="11"/>
        <color theme="1"/>
        <rFont val="Calibri"/>
        <family val="2"/>
        <charset val="238"/>
      </rPr>
      <t xml:space="preserve"> (TS 061)</t>
    </r>
  </si>
  <si>
    <r>
      <t xml:space="preserve">Megváltozott munkaképességű személyek ellátásaiban részesülők száma - Nők </t>
    </r>
    <r>
      <rPr>
        <sz val="11"/>
        <color theme="1"/>
        <rFont val="Calibri"/>
        <family val="2"/>
        <charset val="238"/>
      </rPr>
      <t>(TS 062)</t>
    </r>
  </si>
  <si>
    <r>
      <t xml:space="preserve"> Lakásállomány (db)
</t>
    </r>
    <r>
      <rPr>
        <sz val="10"/>
        <rFont val="Calibri"/>
        <family val="2"/>
        <charset val="238"/>
        <scheme val="minor"/>
      </rPr>
      <t>(TS 073)</t>
    </r>
  </si>
  <si>
    <r>
      <t xml:space="preserve">A 8. évfolyamot eredményesen befejezte a nappali oktatásban </t>
    </r>
    <r>
      <rPr>
        <sz val="11"/>
        <rFont val="Calibri"/>
        <family val="2"/>
        <charset val="238"/>
      </rPr>
      <t>(TS 083)</t>
    </r>
  </si>
  <si>
    <r>
      <t xml:space="preserve">Óvodai gyógypedagógiai gyermekcsoportok száma
</t>
    </r>
    <r>
      <rPr>
        <sz val="11"/>
        <rFont val="Calibri"/>
        <family val="2"/>
        <charset val="238"/>
      </rPr>
      <t>(TS 086)</t>
    </r>
  </si>
  <si>
    <r>
      <t xml:space="preserve">Óvodába beírt gyermekek száma (gyógypedagógiai neveléssel együtt)
</t>
    </r>
    <r>
      <rPr>
        <sz val="11"/>
        <rFont val="Calibri"/>
        <family val="2"/>
        <charset val="238"/>
      </rPr>
      <t>(TS 087)</t>
    </r>
  </si>
  <si>
    <r>
      <t xml:space="preserve">Óvodai feladatellátási helyek száma (gyógypedagógiai neveléssel együtt)
</t>
    </r>
    <r>
      <rPr>
        <sz val="11"/>
        <rFont val="Calibri"/>
        <family val="2"/>
        <charset val="238"/>
      </rPr>
      <t>(TS 088)</t>
    </r>
  </si>
  <si>
    <r>
      <t xml:space="preserve">Óvodai férőhelyek száma (gyógypedagógiai neveléssel együtt)
</t>
    </r>
    <r>
      <rPr>
        <sz val="11"/>
        <rFont val="Calibri"/>
        <family val="2"/>
        <charset val="238"/>
      </rPr>
      <t>(TS 090)</t>
    </r>
  </si>
  <si>
    <r>
      <t xml:space="preserve">A házi gyermekorvosok által ellátott szolgálatok száma
</t>
    </r>
    <r>
      <rPr>
        <sz val="11"/>
        <rFont val="Calibri"/>
        <family val="2"/>
        <charset val="238"/>
      </rPr>
      <t>(TS 108)</t>
    </r>
  </si>
  <si>
    <r>
      <t xml:space="preserve">Betöltött védőnői álláshelyek száma
</t>
    </r>
    <r>
      <rPr>
        <sz val="11"/>
        <color theme="1"/>
        <rFont val="Calibri"/>
        <family val="2"/>
        <charset val="238"/>
        <scheme val="minor"/>
      </rPr>
      <t>(TS 109)</t>
    </r>
  </si>
  <si>
    <r>
      <t xml:space="preserve">Rendszeres gyermekvédelmi kedvezményben részesítettek évi átlagos száma </t>
    </r>
    <r>
      <rPr>
        <sz val="11"/>
        <rFont val="Calibri"/>
        <family val="2"/>
        <charset val="238"/>
      </rPr>
      <t>(TS 111)</t>
    </r>
  </si>
  <si>
    <r>
      <t xml:space="preserve">Veszélyeztetett kiskorú gyermekek száma  </t>
    </r>
    <r>
      <rPr>
        <sz val="11"/>
        <rFont val="Calibri"/>
        <family val="2"/>
        <charset val="238"/>
      </rPr>
      <t>(TS 115)</t>
    </r>
  </si>
  <si>
    <r>
      <t xml:space="preserve">Védelembe vett kiskorú gyermekek száma 
</t>
    </r>
    <r>
      <rPr>
        <sz val="11"/>
        <rFont val="Calibri"/>
        <family val="2"/>
        <charset val="238"/>
      </rPr>
      <t>(TS 116)</t>
    </r>
  </si>
  <si>
    <r>
      <t xml:space="preserve">Működő családi bölcsödei  férőhelyek száma 
</t>
    </r>
    <r>
      <rPr>
        <sz val="11"/>
        <rFont val="Calibri"/>
        <family val="2"/>
        <charset val="238"/>
      </rPr>
      <t>(TS 125)</t>
    </r>
  </si>
  <si>
    <t xml:space="preserve">Önkormányzati bölcsődébe beírt gyerekek száma
</t>
  </si>
  <si>
    <r>
      <t xml:space="preserve">Nappali ellátásban részesülő fogyatékos személyek száma 
</t>
    </r>
    <r>
      <rPr>
        <sz val="11"/>
        <color theme="1"/>
        <rFont val="Calibri"/>
        <family val="2"/>
        <charset val="238"/>
      </rPr>
      <t>(TS 128)</t>
    </r>
  </si>
  <si>
    <r>
      <t xml:space="preserve">Nappali ellátásban részesülő 
időskorúak száma </t>
    </r>
    <r>
      <rPr>
        <sz val="11"/>
        <rFont val="Calibri"/>
        <family val="2"/>
        <charset val="238"/>
      </rPr>
      <t>(TS 129)</t>
    </r>
  </si>
  <si>
    <r>
      <t xml:space="preserve">Ápolási díj, alanyi jogon: támogatásban részesítettek évi átlagos száma </t>
    </r>
    <r>
      <rPr>
        <sz val="11"/>
        <rFont val="Calibri"/>
        <family val="2"/>
        <charset val="238"/>
      </rPr>
      <t>(TS 135)</t>
    </r>
  </si>
  <si>
    <r>
      <t xml:space="preserve">8 általánosnál alacsonyabb végzettség </t>
    </r>
    <r>
      <rPr>
        <sz val="11"/>
        <rFont val="Calibri"/>
        <family val="2"/>
        <charset val="238"/>
      </rPr>
      <t>(TS 036)</t>
    </r>
  </si>
  <si>
    <r>
      <t xml:space="preserve">Állandó oda-, és elvándorlások különbségének 1000 állandó lakosra vetített száma (fő)
</t>
    </r>
    <r>
      <rPr>
        <sz val="11"/>
        <rFont val="Calibri"/>
        <family val="2"/>
        <charset val="238"/>
      </rPr>
      <t>(TS 031)</t>
    </r>
  </si>
  <si>
    <r>
      <t xml:space="preserve">
Öregedési index
% 
</t>
    </r>
    <r>
      <rPr>
        <sz val="11"/>
        <rFont val="Calibri"/>
        <family val="2"/>
        <charset val="238"/>
      </rPr>
      <t>(TS 030)</t>
    </r>
  </si>
  <si>
    <t>Forrás: Önkormányzati és intézményi adatgyűjtés</t>
  </si>
  <si>
    <t>4.3.3. a.) számú táblázat - Bölcsődék és bölcsődébe beíratott gyermekek száma</t>
  </si>
  <si>
    <t>4.3.3. b.) számú táblázat - Bölcsődék és bölcsődébe beíratott gyermekek száma</t>
  </si>
  <si>
    <r>
      <t>Működő munkahelyi bölcsődei férőhelyek száma</t>
    </r>
    <r>
      <rPr>
        <sz val="11"/>
        <rFont val="Calibri"/>
        <family val="2"/>
        <charset val="238"/>
      </rPr>
      <t xml:space="preserve"> (TS 126)</t>
    </r>
  </si>
  <si>
    <t>Forrás: TeIR, KSH Tstar, Önkormányzati és intézményfenntartói adatok</t>
  </si>
  <si>
    <t>Forrás: Önkormányzati, intézményi adatgyűjtés</t>
  </si>
  <si>
    <t xml:space="preserve">3.2. 1. számú táblázat - Munkanélküliségi ráta nemek szerint </t>
  </si>
  <si>
    <r>
      <t xml:space="preserve">5. 2. 1. számú táblázat – Védőnői álláshelyek száma </t>
    </r>
    <r>
      <rPr>
        <sz val="11"/>
        <color theme="1"/>
        <rFont val="Calibri"/>
        <family val="2"/>
        <charset val="238"/>
        <scheme val="minor"/>
      </rPr>
      <t>(a 4.3.1. táblával azonos)</t>
    </r>
  </si>
  <si>
    <r>
      <t>6.1. számú táblázat - Öregedési index</t>
    </r>
    <r>
      <rPr>
        <sz val="11"/>
        <rFont val="Calibri"/>
        <family val="2"/>
        <charset val="238"/>
        <scheme val="minor"/>
      </rPr>
      <t xml:space="preserve"> (3. táblával azonos)</t>
    </r>
  </si>
  <si>
    <r>
      <t xml:space="preserve">6.2. számú táblázat - Hátrányos megkülönböztetés a foglalkoztatás terén </t>
    </r>
    <r>
      <rPr>
        <sz val="11"/>
        <rFont val="Calibri"/>
        <family val="2"/>
        <charset val="238"/>
        <scheme val="minor"/>
      </rPr>
      <t>(a 3.2.2. táblázatból)</t>
    </r>
  </si>
  <si>
    <r>
      <t xml:space="preserve">65 év feletti lakosság száma
</t>
    </r>
    <r>
      <rPr>
        <sz val="11"/>
        <rFont val="Calibri"/>
        <family val="2"/>
        <charset val="238"/>
      </rPr>
      <t>(férfiak TS 026, 
nők TS 028)</t>
    </r>
  </si>
  <si>
    <r>
      <t xml:space="preserve">4.1. számú táblázat - Gyermekkorú népesség összetétele nemek és korcsoportok szerint </t>
    </r>
    <r>
      <rPr>
        <sz val="11"/>
        <rFont val="Calibri"/>
        <family val="2"/>
        <charset val="238"/>
        <scheme val="minor"/>
      </rPr>
      <t>(2.számú táblázatból)</t>
    </r>
  </si>
  <si>
    <r>
      <t xml:space="preserve">Felnőttek és gyermekek részére szervezett háziorvosi szolgálatok száma
</t>
    </r>
    <r>
      <rPr>
        <sz val="11"/>
        <rFont val="Calibri"/>
        <family val="2"/>
        <charset val="238"/>
      </rPr>
      <t>(TS 107)</t>
    </r>
  </si>
  <si>
    <r>
      <t xml:space="preserve">Csak felnőttek részére szervezett háziorvosi szolgáltatások száma
</t>
    </r>
    <r>
      <rPr>
        <sz val="11"/>
        <rFont val="Calibri"/>
        <family val="2"/>
        <charset val="238"/>
      </rPr>
      <t>(TS 106)</t>
    </r>
  </si>
  <si>
    <r>
      <t xml:space="preserve">Nők aránya 
</t>
    </r>
    <r>
      <rPr>
        <sz val="11"/>
        <rFont val="Calibri"/>
        <family val="2"/>
        <charset val="238"/>
      </rPr>
      <t>(TS 034)</t>
    </r>
  </si>
  <si>
    <r>
      <t xml:space="preserve">Időskorúak járadékában részesítettek havi átlagos száma (fő)
 </t>
    </r>
    <r>
      <rPr>
        <sz val="11"/>
        <rFont val="Calibri"/>
        <family val="2"/>
        <charset val="238"/>
      </rPr>
      <t>(TS 134)</t>
    </r>
  </si>
  <si>
    <r>
      <t xml:space="preserve">Nyugdíjban, ellátásban, járadékban és egyéb járandóságban részesülő férfiak száma </t>
    </r>
    <r>
      <rPr>
        <sz val="11"/>
        <rFont val="Calibri"/>
        <family val="2"/>
        <charset val="238"/>
      </rPr>
      <t>(TS 063)</t>
    </r>
  </si>
  <si>
    <r>
      <t xml:space="preserve">Nyugdíjban, ellátásban, járadékban és egyéb járandóságban részesülő nők száma </t>
    </r>
    <r>
      <rPr>
        <sz val="11"/>
        <rFont val="Calibri"/>
        <family val="2"/>
        <charset val="238"/>
      </rPr>
      <t>(TS 064)</t>
    </r>
  </si>
  <si>
    <t>Nyilvántartott álláskeresők aránya az 
állandó népességben a 15-64 évesek körében</t>
  </si>
  <si>
    <r>
      <t xml:space="preserve">5.1.1. számú táblázat - Munkanélküliségi ráta nemek szerint
</t>
    </r>
    <r>
      <rPr>
        <sz val="11"/>
        <rFont val="Calibri"/>
        <family val="2"/>
        <charset val="238"/>
        <scheme val="minor"/>
      </rPr>
      <t xml:space="preserve">(a 3.2.1. táblával azonos) </t>
    </r>
  </si>
  <si>
    <r>
      <t xml:space="preserve">5.1.2.  számú tábla - A 180 napnál hosszabb ideje nyilvántartott álláskeresők  </t>
    </r>
    <r>
      <rPr>
        <sz val="11"/>
        <rFont val="Calibri"/>
        <family val="2"/>
        <charset val="238"/>
        <scheme val="minor"/>
      </rPr>
      <t>(a 3.2.3. táblával azonos)</t>
    </r>
  </si>
  <si>
    <r>
      <t xml:space="preserve">Nők aránya a 180 napon túli nyilvántartott álláskeresőkön belül </t>
    </r>
    <r>
      <rPr>
        <sz val="11"/>
        <rFont val="Calibri"/>
        <family val="2"/>
        <charset val="238"/>
      </rPr>
      <t>(TS 058)</t>
    </r>
  </si>
  <si>
    <r>
      <t xml:space="preserve">Nyilvántartott pályakezdő álláskeresők száma
</t>
    </r>
    <r>
      <rPr>
        <sz val="11"/>
        <rFont val="Calibri"/>
        <family val="2"/>
        <charset val="238"/>
      </rPr>
      <t>(TS 053)</t>
    </r>
  </si>
  <si>
    <r>
      <t xml:space="preserve">Bölcsődébe (összes) beírt gyermekek száma
</t>
    </r>
    <r>
      <rPr>
        <sz val="11"/>
        <rFont val="Calibri"/>
        <family val="2"/>
        <charset val="238"/>
      </rPr>
      <t>(TS 120)</t>
    </r>
  </si>
  <si>
    <r>
      <t xml:space="preserve">Más településről bejáró általános iskolai tanulók aránya a nappali oktatásban </t>
    </r>
    <r>
      <rPr>
        <sz val="11"/>
        <rFont val="Calibri"/>
        <family val="2"/>
        <charset val="238"/>
      </rPr>
      <t>(TS 084)</t>
    </r>
  </si>
  <si>
    <r>
      <t xml:space="preserve">Gyógypedagógiai oktatásban részesülő óvodás gyermekek száma
az integráltan oktatott SNI gyermekek nélkül </t>
    </r>
    <r>
      <rPr>
        <sz val="11"/>
        <rFont val="Calibri"/>
        <family val="2"/>
        <charset val="238"/>
      </rPr>
      <t>(TS 091)</t>
    </r>
  </si>
  <si>
    <r>
      <t xml:space="preserve">Hátrányos és halmozottan hátrányos helyzetű  tanulók 
aránya a szakgimnáziumi tanulókon belül
</t>
    </r>
    <r>
      <rPr>
        <sz val="10"/>
        <color theme="1"/>
        <rFont val="Calibri"/>
        <family val="2"/>
        <charset val="238"/>
        <scheme val="minor"/>
      </rPr>
      <t>(TS 101)</t>
    </r>
  </si>
  <si>
    <r>
      <t xml:space="preserve">Hátrányos és halmozottan hátrányos helyzetű szakgimnáziumi tanulók száma  
</t>
    </r>
    <r>
      <rPr>
        <sz val="10"/>
        <color theme="1"/>
        <rFont val="Calibri"/>
        <family val="2"/>
        <charset val="238"/>
        <scheme val="minor"/>
      </rPr>
      <t>(TS 100)</t>
    </r>
  </si>
  <si>
    <r>
      <t xml:space="preserve">Hátrányos és halmozottan hátrányos helyzetű szakközépiskolai tanulók
és hátrányos helyzetű szakiskolai és 
készségfejlesztő iskolai tanulók aránya a tanulók számához viszonyítva
</t>
    </r>
    <r>
      <rPr>
        <sz val="10"/>
        <color theme="1"/>
        <rFont val="Calibri"/>
        <family val="2"/>
        <charset val="238"/>
        <scheme val="minor"/>
      </rPr>
      <t>(TS 099)</t>
    </r>
  </si>
  <si>
    <r>
      <t xml:space="preserve">Hátrányos és halmozottan hátrányos helyzetű szakközépiskolai tanulók
és hátrányos helyzetű szakiskolai és 
készségfejlesztő iskolai tanulók száma a nappali oktatásban </t>
    </r>
    <r>
      <rPr>
        <sz val="10"/>
        <color theme="1"/>
        <rFont val="Calibri"/>
        <family val="2"/>
        <charset val="238"/>
        <scheme val="minor"/>
      </rPr>
      <t>(TS 098)</t>
    </r>
  </si>
  <si>
    <r>
      <t xml:space="preserve">Hátrányos és halmozottan hátrányos helyzetű  tanulók aránya a gimnáziumi tanulókon belül </t>
    </r>
    <r>
      <rPr>
        <sz val="11"/>
        <color theme="1"/>
        <rFont val="Calibri"/>
        <family val="2"/>
        <charset val="238"/>
        <scheme val="minor"/>
      </rPr>
      <t>(TS 097)</t>
    </r>
  </si>
  <si>
    <r>
      <t xml:space="preserve">Hátrányos és halmozottan hátrányos helyzetű gimnáziumi tanulók száma </t>
    </r>
    <r>
      <rPr>
        <sz val="11"/>
        <color theme="1"/>
        <rFont val="Calibri"/>
        <family val="2"/>
        <charset val="238"/>
        <scheme val="minor"/>
      </rPr>
      <t xml:space="preserve"> (TS 096)</t>
    </r>
  </si>
  <si>
    <r>
      <t xml:space="preserve">Működő (összes) bölcsődei férőhelyek száma </t>
    </r>
    <r>
      <rPr>
        <sz val="11"/>
        <rFont val="Calibri"/>
        <family val="2"/>
        <charset val="238"/>
      </rPr>
      <t>(TS 124)</t>
    </r>
  </si>
  <si>
    <r>
      <t xml:space="preserve">Hátrányos és halmozottan hátrányos helyzetű 
óvodás gyermekek száma (gyógypedagógiai neveléssel együtt) </t>
    </r>
    <r>
      <rPr>
        <sz val="11"/>
        <color theme="1"/>
        <rFont val="Calibri"/>
        <family val="2"/>
        <charset val="238"/>
        <scheme val="minor"/>
      </rPr>
      <t>(TS 092)</t>
    </r>
  </si>
  <si>
    <r>
      <t xml:space="preserve">Hátrányos és halmozottan hátrányos helyzetű óvodás gyermekek 
aránya az óvodás gyermekeken belül </t>
    </r>
    <r>
      <rPr>
        <sz val="11"/>
        <color theme="1"/>
        <rFont val="Calibri"/>
        <family val="2"/>
        <charset val="238"/>
        <scheme val="minor"/>
      </rPr>
      <t>(TS 093)</t>
    </r>
  </si>
  <si>
    <r>
      <t xml:space="preserve">Mini bölcsődébe beírt gyerekek száma </t>
    </r>
    <r>
      <rPr>
        <sz val="11"/>
        <rFont val="Calibri"/>
        <family val="2"/>
        <charset val="238"/>
      </rPr>
      <t>(TS 123)</t>
    </r>
  </si>
  <si>
    <r>
      <t xml:space="preserve">Működő mini bölcsődei férőhelyek száma </t>
    </r>
    <r>
      <rPr>
        <sz val="11"/>
        <rFont val="Calibri"/>
        <family val="2"/>
        <charset val="238"/>
      </rPr>
      <t>(TS 127)</t>
    </r>
  </si>
  <si>
    <r>
      <t>Családi bölcsődébe beírt gyerekek száma</t>
    </r>
    <r>
      <rPr>
        <sz val="11"/>
        <rFont val="Calibri"/>
        <family val="2"/>
        <charset val="238"/>
      </rPr>
      <t xml:space="preserve"> (TS 121)</t>
    </r>
  </si>
  <si>
    <r>
      <t>Munkahelyi bölcsődébe beírt gyerekek száma</t>
    </r>
    <r>
      <rPr>
        <sz val="11"/>
        <rFont val="Calibri"/>
        <family val="2"/>
        <charset val="238"/>
      </rPr>
      <t xml:space="preserve"> (TS 122)</t>
    </r>
  </si>
  <si>
    <r>
      <t xml:space="preserve">Árvaellátásban részesülő 
nők száma (fő)
</t>
    </r>
    <r>
      <rPr>
        <sz val="11"/>
        <color theme="1"/>
        <rFont val="Calibri"/>
        <family val="2"/>
        <charset val="238"/>
        <scheme val="minor"/>
      </rPr>
      <t>(TS 066)</t>
    </r>
  </si>
  <si>
    <r>
      <t xml:space="preserve">Árvaellátásban részesülő 
férfiak száma (fő)
</t>
    </r>
    <r>
      <rPr>
        <sz val="11"/>
        <color theme="1"/>
        <rFont val="Calibri"/>
        <family val="2"/>
        <charset val="238"/>
        <scheme val="minor"/>
      </rPr>
      <t xml:space="preserve">(TS 065) </t>
    </r>
  </si>
  <si>
    <r>
      <t xml:space="preserve">Aktív foglalkoztatás-politikai eszközökkel támogatottak száma
</t>
    </r>
    <r>
      <rPr>
        <sz val="11"/>
        <rFont val="Calibri"/>
        <family val="2"/>
        <charset val="238"/>
      </rPr>
      <t>(TS 050)</t>
    </r>
  </si>
  <si>
    <r>
      <t xml:space="preserve">Álláskeresési ellátásban részesülő nyilvántartott álláskeresők száma
</t>
    </r>
    <r>
      <rPr>
        <sz val="11"/>
        <rFont val="Calibri"/>
        <family val="2"/>
        <charset val="238"/>
      </rPr>
      <t>(TS 047)</t>
    </r>
  </si>
  <si>
    <r>
      <t xml:space="preserve">Közfoglalakoztatottak  száma
</t>
    </r>
    <r>
      <rPr>
        <sz val="11"/>
        <rFont val="Calibri"/>
        <family val="2"/>
        <charset val="238"/>
      </rPr>
      <t>(TS 055)</t>
    </r>
  </si>
  <si>
    <t xml:space="preserve"> (éves átlag - fő)</t>
  </si>
  <si>
    <r>
      <t xml:space="preserve">Az általános iskolai osztályok száma (a gyógypedagógiai oktatással együtt)
</t>
    </r>
    <r>
      <rPr>
        <sz val="11"/>
        <rFont val="Calibri"/>
        <family val="2"/>
        <charset val="238"/>
      </rPr>
      <t>(TS 081)</t>
    </r>
  </si>
  <si>
    <r>
      <t xml:space="preserve">Általános iskolai feladat-ellátási helyek száma (gyógypedagógiai oktatással együtt)
</t>
    </r>
    <r>
      <rPr>
        <sz val="11"/>
        <rFont val="Calibri"/>
        <family val="2"/>
        <charset val="238"/>
      </rPr>
      <t>(TS 079)</t>
    </r>
  </si>
  <si>
    <r>
      <t>Egy általános iskolai 
osztályra jutó tanulók 
száma a nappali oktatásban 
(gyógypedagógiai oktatással együtt)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(TS 082)</t>
    </r>
  </si>
  <si>
    <r>
      <t xml:space="preserve">Szünidei étkeztetésben részesülő gyermekek száma </t>
    </r>
    <r>
      <rPr>
        <sz val="11"/>
        <color theme="1"/>
        <rFont val="Calibri"/>
        <family val="2"/>
        <charset val="238"/>
        <scheme val="minor"/>
      </rPr>
      <t>(TS 112)</t>
    </r>
  </si>
  <si>
    <r>
      <t xml:space="preserve">20 éves, vagy az alatti 
</t>
    </r>
    <r>
      <rPr>
        <sz val="11"/>
        <rFont val="Calibri"/>
        <family val="2"/>
        <charset val="238"/>
      </rPr>
      <t>(TS 037)</t>
    </r>
  </si>
  <si>
    <r>
      <t>21-25 év</t>
    </r>
    <r>
      <rPr>
        <sz val="11"/>
        <rFont val="Calibri"/>
        <family val="2"/>
        <charset val="238"/>
      </rPr>
      <t xml:space="preserve"> (TS 038)</t>
    </r>
  </si>
  <si>
    <r>
      <t xml:space="preserve">26-30 év </t>
    </r>
    <r>
      <rPr>
        <sz val="11"/>
        <rFont val="Calibri"/>
        <family val="2"/>
        <charset val="238"/>
      </rPr>
      <t>(TS 039)</t>
    </r>
  </si>
  <si>
    <r>
      <t xml:space="preserve">31-35 év </t>
    </r>
    <r>
      <rPr>
        <sz val="11"/>
        <rFont val="Calibri"/>
        <family val="2"/>
        <charset val="238"/>
      </rPr>
      <t>(TS 040)</t>
    </r>
  </si>
  <si>
    <r>
      <t xml:space="preserve">36-40 év </t>
    </r>
    <r>
      <rPr>
        <sz val="11"/>
        <rFont val="Calibri"/>
        <family val="2"/>
        <charset val="238"/>
      </rPr>
      <t>(TS 041)</t>
    </r>
  </si>
  <si>
    <r>
      <t xml:space="preserve">41-45 év </t>
    </r>
    <r>
      <rPr>
        <sz val="11"/>
        <rFont val="Calibri"/>
        <family val="2"/>
        <charset val="238"/>
      </rPr>
      <t>(TS 042)</t>
    </r>
  </si>
  <si>
    <r>
      <t xml:space="preserve">46-50 év </t>
    </r>
    <r>
      <rPr>
        <sz val="11"/>
        <rFont val="Calibri"/>
        <family val="2"/>
        <charset val="238"/>
      </rPr>
      <t>(TS 043)</t>
    </r>
  </si>
  <si>
    <r>
      <t xml:space="preserve">51-55 év </t>
    </r>
    <r>
      <rPr>
        <sz val="11"/>
        <rFont val="Calibri"/>
        <family val="2"/>
        <charset val="238"/>
      </rPr>
      <t>(TS 044)</t>
    </r>
  </si>
  <si>
    <r>
      <t xml:space="preserve">56-60 év </t>
    </r>
    <r>
      <rPr>
        <sz val="11"/>
        <rFont val="Calibri"/>
        <family val="2"/>
        <charset val="238"/>
      </rPr>
      <t>(TS 045)</t>
    </r>
  </si>
  <si>
    <r>
      <t>61 éves, vagy afeletti</t>
    </r>
    <r>
      <rPr>
        <sz val="11"/>
        <rFont val="Calibri"/>
        <family val="2"/>
        <charset val="238"/>
      </rPr>
      <t xml:space="preserve"> (TS 046)</t>
    </r>
  </si>
  <si>
    <r>
      <t xml:space="preserve">Férfiak aránya 
</t>
    </r>
    <r>
      <rPr>
        <sz val="11"/>
        <rFont val="Calibri"/>
        <family val="2"/>
        <charset val="238"/>
      </rPr>
      <t>(TS 033)</t>
    </r>
  </si>
  <si>
    <r>
      <t xml:space="preserve">az állandó népesség
 %-ában </t>
    </r>
    <r>
      <rPr>
        <sz val="11"/>
        <rFont val="Calibri"/>
        <family val="2"/>
        <charset val="238"/>
        <scheme val="minor"/>
      </rPr>
      <t>(TS 060)</t>
    </r>
  </si>
  <si>
    <r>
      <t xml:space="preserve">az állandó népesség
 %-ában </t>
    </r>
    <r>
      <rPr>
        <sz val="11"/>
        <rFont val="Calibri"/>
        <family val="2"/>
        <charset val="238"/>
        <scheme val="minor"/>
      </rPr>
      <t>(TS 059)</t>
    </r>
  </si>
  <si>
    <r>
      <t xml:space="preserve">Regisztrált munkanélküliek/nyilvántartott álláskeresők száma összesen
</t>
    </r>
    <r>
      <rPr>
        <sz val="11"/>
        <rFont val="Calibri"/>
        <family val="2"/>
        <charset val="238"/>
      </rPr>
      <t>(TS 052)</t>
    </r>
  </si>
  <si>
    <r>
      <t xml:space="preserve">Szociális támogatásban részesülő nyilvántartott álláskeresők száma
</t>
    </r>
    <r>
      <rPr>
        <sz val="11"/>
        <rFont val="Calibri"/>
        <family val="2"/>
        <charset val="238"/>
      </rPr>
      <t>(TS 048)</t>
    </r>
  </si>
  <si>
    <r>
      <t>Foglalkoztatást helyettesítő támogatásban részesítettek átlagos havi száma</t>
    </r>
    <r>
      <rPr>
        <sz val="11"/>
        <rFont val="Calibri"/>
        <family val="2"/>
        <charset val="238"/>
      </rPr>
      <t xml:space="preserve"> (TS 054)</t>
    </r>
  </si>
  <si>
    <r>
      <t xml:space="preserve">Ellátásban részesülő nyilvántartott álláskeresők száma </t>
    </r>
    <r>
      <rPr>
        <sz val="11"/>
        <rFont val="Calibri"/>
        <family val="2"/>
        <charset val="238"/>
      </rPr>
      <t>(TS 049)</t>
    </r>
  </si>
  <si>
    <r>
      <t xml:space="preserve">Egészségkárosodási és gyermekfelügyeleti támogatásban részesítettek havi átlagos száma
</t>
    </r>
    <r>
      <rPr>
        <sz val="11"/>
        <rFont val="Calibri"/>
        <family val="2"/>
        <charset val="238"/>
      </rPr>
      <t>(TS 056)</t>
    </r>
  </si>
  <si>
    <r>
      <t xml:space="preserve">A települési könyvtárak kikölcsönzött egységeinek száma
</t>
    </r>
    <r>
      <rPr>
        <sz val="11"/>
        <color theme="1"/>
        <rFont val="Calibri"/>
        <family val="2"/>
        <charset val="238"/>
        <scheme val="minor"/>
      </rPr>
      <t>(TS 104)</t>
    </r>
  </si>
  <si>
    <r>
      <t xml:space="preserve">Közművelődési intézmények száma
</t>
    </r>
    <r>
      <rPr>
        <sz val="11"/>
        <color theme="1"/>
        <rFont val="Calibri"/>
        <family val="2"/>
        <charset val="238"/>
        <scheme val="minor"/>
      </rPr>
      <t>(TS 105)</t>
    </r>
  </si>
  <si>
    <t xml:space="preserve">  3.2.5. számú táblázat  - Foglalkoztatáspolitika</t>
  </si>
  <si>
    <t xml:space="preserve">3.2.6. számú táblázat - Pályakezdő álláskeresők száma </t>
  </si>
  <si>
    <r>
      <rPr>
        <b/>
        <sz val="11"/>
        <rFont val="Calibri"/>
        <family val="2"/>
        <charset val="238"/>
      </rPr>
      <t>0-14 éves</t>
    </r>
    <r>
      <rPr>
        <sz val="11"/>
        <rFont val="Calibri"/>
        <family val="2"/>
        <charset val="238"/>
      </rPr>
      <t xml:space="preserve"> (férfiak TS 010, aránya TS 011; nők TS 012, aránya TS 013)</t>
    </r>
  </si>
  <si>
    <r>
      <rPr>
        <b/>
        <sz val="11"/>
        <rFont val="Calibri"/>
        <family val="2"/>
        <charset val="238"/>
      </rPr>
      <t>15-17 éves</t>
    </r>
    <r>
      <rPr>
        <sz val="11"/>
        <rFont val="Calibri"/>
        <family val="2"/>
        <charset val="238"/>
      </rPr>
      <t xml:space="preserve"> (férfiak TS 014, aránya TS 015; nők TS 016, aránya TS 017)</t>
    </r>
  </si>
  <si>
    <r>
      <rPr>
        <b/>
        <sz val="11"/>
        <rFont val="Calibri"/>
        <family val="2"/>
        <charset val="238"/>
      </rPr>
      <t>18-59 éves</t>
    </r>
    <r>
      <rPr>
        <sz val="11"/>
        <rFont val="Calibri"/>
        <family val="2"/>
        <charset val="238"/>
      </rPr>
      <t xml:space="preserve"> (férfiak TS 018, aránya TS 019; nők TS 020, aránya TS 021)</t>
    </r>
  </si>
  <si>
    <r>
      <rPr>
        <b/>
        <sz val="11"/>
        <rFont val="Calibri"/>
        <family val="2"/>
        <charset val="238"/>
      </rPr>
      <t>60-64 éves</t>
    </r>
    <r>
      <rPr>
        <sz val="11"/>
        <rFont val="Calibri"/>
        <family val="2"/>
        <charset val="238"/>
      </rPr>
      <t xml:space="preserve"> (férfiak TS 022, aránya TS 023; nők TS 024, aránya TS 025)</t>
    </r>
  </si>
  <si>
    <r>
      <t xml:space="preserve">65 év feletti állandó lakosok száma (fő)
</t>
    </r>
    <r>
      <rPr>
        <sz val="11"/>
        <rFont val="Calibri"/>
        <family val="2"/>
        <charset val="238"/>
      </rPr>
      <t>(TS 026 és TS 028 összesen)</t>
    </r>
  </si>
  <si>
    <r>
      <rPr>
        <b/>
        <sz val="11"/>
        <rFont val="Calibri"/>
        <family val="2"/>
        <charset val="238"/>
      </rPr>
      <t xml:space="preserve">65 év feletti </t>
    </r>
    <r>
      <rPr>
        <sz val="11"/>
        <rFont val="Calibri"/>
        <family val="2"/>
        <charset val="238"/>
      </rPr>
      <t>(férfiak TS 026, aránya TS 027; nők TS 028, aránya TS 029)</t>
    </r>
  </si>
  <si>
    <t xml:space="preserve"> 3.3.2. számú táblázat - Passzív foglalkoztatás-politikai eszközök - Álláskeresők ellátásai II.</t>
  </si>
  <si>
    <t xml:space="preserve">     3.3. 1. számú táblázat - Passzív foglalkoztatás-politikai eszközök - Álláskeresők ellátásai I.</t>
  </si>
  <si>
    <r>
      <t xml:space="preserve">A közüzemi ivóvízvezeték-hálózatba 
 bekapcsolt lakások aránya </t>
    </r>
    <r>
      <rPr>
        <sz val="11"/>
        <rFont val="Calibri"/>
        <family val="2"/>
        <charset val="238"/>
        <scheme val="minor"/>
      </rPr>
      <t>(TS 075)</t>
    </r>
  </si>
  <si>
    <r>
      <t xml:space="preserve"> Lakásállomány (db)
</t>
    </r>
    <r>
      <rPr>
        <sz val="11"/>
        <rFont val="Calibri"/>
        <family val="2"/>
        <charset val="238"/>
        <scheme val="minor"/>
      </rPr>
      <t>(TS 073)</t>
    </r>
  </si>
  <si>
    <r>
      <t xml:space="preserve">Épített lakások száma
</t>
    </r>
    <r>
      <rPr>
        <sz val="11"/>
        <rFont val="Calibri"/>
        <family val="2"/>
        <charset val="238"/>
        <scheme val="minor"/>
      </rPr>
      <t>(TSv 077)</t>
    </r>
  </si>
  <si>
    <r>
      <t xml:space="preserve">Épített lakások száma 1000 lakásra
</t>
    </r>
    <r>
      <rPr>
        <sz val="11"/>
        <rFont val="Calibri"/>
        <family val="2"/>
        <charset val="238"/>
        <scheme val="minor"/>
      </rPr>
      <t>(TS 078)</t>
    </r>
  </si>
  <si>
    <r>
      <t xml:space="preserve">1-2 szobás lakások aránya
</t>
    </r>
    <r>
      <rPr>
        <sz val="11"/>
        <rFont val="Calibri"/>
        <family val="2"/>
        <charset val="238"/>
        <scheme val="minor"/>
      </rPr>
      <t>(TS 076)</t>
    </r>
  </si>
  <si>
    <r>
      <t xml:space="preserve">A közüzemi szennyvízgyűjtő-hálózatba 
 bekapcsolt lakások aránya </t>
    </r>
    <r>
      <rPr>
        <sz val="11"/>
        <rFont val="Calibri"/>
        <family val="2"/>
        <charset val="238"/>
        <scheme val="minor"/>
      </rPr>
      <t>(TS 074)</t>
    </r>
  </si>
  <si>
    <r>
      <t xml:space="preserve">Települési támogatásban részesítettek száma
(pénzbeli és természetbeni)
</t>
    </r>
    <r>
      <rPr>
        <sz val="11"/>
        <rFont val="Calibri"/>
        <family val="2"/>
        <charset val="238"/>
        <scheme val="minor"/>
      </rPr>
      <t>(TS 136)</t>
    </r>
  </si>
  <si>
    <r>
      <t xml:space="preserve">Egyéb önkormányzati támogatásban 
részesítettek száma
</t>
    </r>
    <r>
      <rPr>
        <sz val="11"/>
        <rFont val="Calibri"/>
        <family val="2"/>
        <charset val="238"/>
        <scheme val="minor"/>
      </rPr>
      <t>(TS 137)</t>
    </r>
  </si>
  <si>
    <r>
      <t xml:space="preserve">Felnőttek és gyermekek részére szervezett háziorvosi szolgálatok száma
</t>
    </r>
    <r>
      <rPr>
        <sz val="11"/>
        <rFont val="Calibri"/>
        <family val="2"/>
        <charset val="238"/>
      </rPr>
      <t>(TS 107)</t>
    </r>
    <r>
      <rPr>
        <b/>
        <sz val="11"/>
        <rFont val="Calibri"/>
        <family val="2"/>
        <charset val="238"/>
      </rPr>
      <t xml:space="preserve">
</t>
    </r>
  </si>
  <si>
    <r>
      <t xml:space="preserve">Gyógyszertárak és 
fiókgyógyszertárak száma
</t>
    </r>
    <r>
      <rPr>
        <sz val="11"/>
        <rFont val="Calibri"/>
        <family val="2"/>
        <charset val="238"/>
        <scheme val="minor"/>
      </rPr>
      <t>(TS 110)</t>
    </r>
  </si>
  <si>
    <r>
      <t xml:space="preserve">Közgyógyellátási igazolvánnyal rendelkezők száma (alanyi és normatív alapon kiadott) 
</t>
    </r>
    <r>
      <rPr>
        <sz val="10"/>
        <color theme="1"/>
        <rFont val="Calibri"/>
        <family val="2"/>
        <charset val="238"/>
        <scheme val="minor"/>
      </rPr>
      <t>(TS 133)</t>
    </r>
  </si>
  <si>
    <r>
      <t>Tornateremmel, tornaszobával ellátott köznevelési intézmények száma (intézmény székhelye szerint)</t>
    </r>
    <r>
      <rPr>
        <sz val="11"/>
        <color theme="1"/>
        <rFont val="Calibri"/>
        <family val="2"/>
        <charset val="238"/>
        <scheme val="minor"/>
      </rPr>
      <t xml:space="preserve"> (TS 102)</t>
    </r>
  </si>
  <si>
    <r>
      <t xml:space="preserve">Sportcsarnok, sportpálya léte
</t>
    </r>
    <r>
      <rPr>
        <sz val="11"/>
        <color theme="1"/>
        <rFont val="Calibri"/>
        <family val="2"/>
        <charset val="238"/>
        <scheme val="minor"/>
      </rPr>
      <t>(TS 103)</t>
    </r>
  </si>
  <si>
    <t xml:space="preserve">4.1.2. számú táblázat - Rendszeres gyermekvédelmi kedvezményben részesítettek </t>
  </si>
  <si>
    <t xml:space="preserve">4.1.1. számú táblázat - Védelembe vett és veszélyeztetett kiskorú gyermekek </t>
  </si>
  <si>
    <r>
      <t xml:space="preserve">4.1.4. számú táblázat – Kedvezményes óvodai - iskolai juttatásokban részesülők száma </t>
    </r>
    <r>
      <rPr>
        <b/>
        <sz val="11"/>
        <color rgb="FF0070C0"/>
        <rFont val="Calibri"/>
        <family val="2"/>
        <charset val="238"/>
        <scheme val="minor"/>
      </rPr>
      <t>(A táblázat kitöltése és elemzése opcionális.)</t>
    </r>
  </si>
  <si>
    <t>Forrás: TeIR, KSH Tstar, Önkormányzati és intézményi adatgyűjtés</t>
  </si>
  <si>
    <r>
      <t>5.2.2. a) Bölcsődék és bölcsődébe beíratott gyermekek száma</t>
    </r>
    <r>
      <rPr>
        <sz val="11"/>
        <rFont val="Calibri"/>
        <family val="2"/>
        <charset val="238"/>
        <scheme val="minor"/>
      </rPr>
      <t xml:space="preserve"> (4.3.3. a.) számú táblázatból</t>
    </r>
  </si>
  <si>
    <r>
      <t xml:space="preserve">Öregedési index
% 
</t>
    </r>
    <r>
      <rPr>
        <sz val="11"/>
        <rFont val="Calibri"/>
        <family val="2"/>
        <charset val="238"/>
      </rPr>
      <t>(TS 030)</t>
    </r>
  </si>
  <si>
    <r>
      <t xml:space="preserve">Életkoron alapuló ellátásban részesülő férfiak száma
</t>
    </r>
    <r>
      <rPr>
        <sz val="11"/>
        <color theme="1"/>
        <rFont val="Calibri"/>
        <family val="2"/>
        <charset val="238"/>
        <scheme val="minor"/>
      </rPr>
      <t>(TS 067)</t>
    </r>
  </si>
  <si>
    <r>
      <t xml:space="preserve">Életkoron alapuló ellátásban részesülő nők száma
</t>
    </r>
    <r>
      <rPr>
        <sz val="11"/>
        <color theme="1"/>
        <rFont val="Calibri"/>
        <family val="2"/>
        <charset val="238"/>
        <scheme val="minor"/>
      </rPr>
      <t>(TS 068)</t>
    </r>
  </si>
  <si>
    <r>
      <t xml:space="preserve">Öregségi nyugdíjban részesülő férfiak száma
</t>
    </r>
    <r>
      <rPr>
        <sz val="11"/>
        <color theme="1"/>
        <rFont val="Calibri"/>
        <family val="2"/>
        <charset val="238"/>
        <scheme val="minor"/>
      </rPr>
      <t>(TS 069)</t>
    </r>
  </si>
  <si>
    <r>
      <t xml:space="preserve">Öregségi nyugdíjban részesülő nők száma
</t>
    </r>
    <r>
      <rPr>
        <sz val="11"/>
        <color theme="1"/>
        <rFont val="Calibri"/>
        <family val="2"/>
        <charset val="238"/>
        <scheme val="minor"/>
      </rPr>
      <t>(TS 070)</t>
    </r>
  </si>
  <si>
    <r>
      <t xml:space="preserve">Özvegyi és szülői nyugdíjban részesülő férfiak száma
</t>
    </r>
    <r>
      <rPr>
        <sz val="11"/>
        <color theme="1"/>
        <rFont val="Calibri"/>
        <family val="2"/>
        <charset val="238"/>
        <scheme val="minor"/>
      </rPr>
      <t>(TS 071)</t>
    </r>
  </si>
  <si>
    <r>
      <t xml:space="preserve">Özvegyi és szülői nyugdíjban részesülő nők száma
</t>
    </r>
    <r>
      <rPr>
        <sz val="11"/>
        <color theme="1"/>
        <rFont val="Calibri"/>
        <family val="2"/>
        <charset val="238"/>
        <scheme val="minor"/>
      </rPr>
      <t>(TS 072)</t>
    </r>
  </si>
  <si>
    <t>6.1.2. számú táblázat - Nyugdíjszerű ellátások</t>
  </si>
  <si>
    <t>6.3.1. számú táblázat - 65 évnél idősebb népesség és nappali ellátásban részesülő időskorúak száma</t>
  </si>
  <si>
    <r>
      <t xml:space="preserve">Házi segítségnyújtásban 
részesülők száma
</t>
    </r>
    <r>
      <rPr>
        <sz val="11"/>
        <rFont val="Calibri"/>
        <family val="2"/>
        <charset val="238"/>
        <scheme val="minor"/>
      </rPr>
      <t>(TS 130)</t>
    </r>
  </si>
  <si>
    <r>
      <t xml:space="preserve">Szociális étkeztetésben 
részesülők száma 
</t>
    </r>
    <r>
      <rPr>
        <sz val="11"/>
        <color theme="1"/>
        <rFont val="Calibri"/>
        <family val="2"/>
        <charset val="238"/>
        <scheme val="minor"/>
      </rPr>
      <t>(TS 131)</t>
    </r>
  </si>
  <si>
    <r>
      <t xml:space="preserve">Hátrányos és halmozottan hátrányos helyzetű 
 általános iskolai tanulók száma  (gyógypedagógiai oktatással együtt) 
</t>
    </r>
    <r>
      <rPr>
        <sz val="11"/>
        <color theme="1"/>
        <rFont val="Calibri"/>
        <family val="2"/>
        <charset val="238"/>
        <scheme val="minor"/>
      </rPr>
      <t>(TS 094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</si>
  <si>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Hátrányos és halmozottan hátrányos helyzetű  tanulók aránya az általános iskolai tanulókon belül </t>
    </r>
    <r>
      <rPr>
        <sz val="11"/>
        <color theme="1"/>
        <rFont val="Calibri"/>
        <family val="2"/>
        <charset val="238"/>
        <scheme val="minor"/>
      </rPr>
      <t>(TS 095)</t>
    </r>
  </si>
  <si>
    <r>
      <t xml:space="preserve">Óvodai gyermekcsoportok száma - gyógypedagógiai neveléssel együtt </t>
    </r>
    <r>
      <rPr>
        <sz val="11"/>
        <rFont val="Calibri"/>
        <family val="2"/>
        <charset val="238"/>
      </rPr>
      <t xml:space="preserve">(TS 085) </t>
    </r>
  </si>
  <si>
    <r>
      <t xml:space="preserve">Egy óvodai gyermekcsoportra
 jutó gyermekek száma </t>
    </r>
    <r>
      <rPr>
        <sz val="11"/>
        <color theme="1"/>
        <rFont val="Calibri"/>
        <family val="2"/>
        <charset val="238"/>
        <scheme val="minor"/>
      </rPr>
      <t>(TS 089)</t>
    </r>
  </si>
  <si>
    <t>Segédlet a Helyi Esélyegyenlőségi Programok elkészítéséhez</t>
  </si>
  <si>
    <t>Győr település</t>
  </si>
  <si>
    <t>Éves adatok</t>
  </si>
  <si>
    <t>MUTATO</t>
  </si>
  <si>
    <t>Aktuális év:</t>
  </si>
  <si>
    <t>Hiányzó adatokhoz:</t>
  </si>
  <si>
    <t>Utolsó népszámlálás:</t>
  </si>
  <si>
    <t xml:space="preserve">Az SZJA adófizetők közül a 0-1 millió forintos jövedelemsávba tartozók </t>
  </si>
  <si>
    <r>
      <t xml:space="preserve">5.1.3. számú táblázat - Pályakezdő álláskeresők száma 
</t>
    </r>
    <r>
      <rPr>
        <sz val="11"/>
        <rFont val="Calibri"/>
        <family val="2"/>
        <charset val="238"/>
        <scheme val="minor"/>
      </rPr>
      <t>(a 3.2.6. táblával azonos)</t>
    </r>
  </si>
  <si>
    <r>
      <t xml:space="preserve">5.2.2. b) Bölcsődék és bölcsődébe beíratott gyermekek száma </t>
    </r>
    <r>
      <rPr>
        <sz val="11"/>
        <rFont val="Calibri"/>
        <family val="2"/>
        <charset val="238"/>
        <scheme val="minor"/>
      </rPr>
      <t>(4.3.3. b.) számú táblázatból</t>
    </r>
  </si>
  <si>
    <r>
      <t xml:space="preserve">6.3. számú táblázat – Nyugdíjban, ellátásban, járadékban és egyéb járandóságban részesülők száma </t>
    </r>
    <r>
      <rPr>
        <i/>
        <sz val="11"/>
        <rFont val="Calibri"/>
        <family val="2"/>
        <charset val="238"/>
        <scheme val="minor"/>
      </rPr>
      <t>(Megegyezik a 6.1.1-es táblázattal)</t>
    </r>
  </si>
  <si>
    <t>001-et ide illeszd</t>
  </si>
  <si>
    <r>
      <t xml:space="preserve">Megállapított hátrányos helyzetű gyermekek és nagykorúvá vált gyermekek száma </t>
    </r>
    <r>
      <rPr>
        <sz val="11"/>
        <color theme="1"/>
        <rFont val="Calibri"/>
        <family val="2"/>
        <charset val="238"/>
        <scheme val="minor"/>
      </rPr>
      <t>(TS 114)</t>
    </r>
  </si>
  <si>
    <r>
      <t xml:space="preserve">Megállapított halmozottan hátrányos helyzetű gyermekek és nagykorúvá vált gyermekek száma
</t>
    </r>
    <r>
      <rPr>
        <sz val="11"/>
        <color theme="1"/>
        <rFont val="Calibri"/>
        <family val="2"/>
        <charset val="238"/>
        <scheme val="minor"/>
      </rPr>
      <t>(TS 113)</t>
    </r>
  </si>
  <si>
    <t xml:space="preserve"> </t>
  </si>
  <si>
    <t>Forrás: TeIR, KSH Tstar, Nagykovácsi Általános Iskola</t>
  </si>
  <si>
    <t>Forrás: TeIR, KSH Tstar , Nagykovácsi Általános Iskola</t>
  </si>
  <si>
    <r>
      <t xml:space="preserve">4.4.1. számú táblázat - Óvodai nevelés adatai - </t>
    </r>
    <r>
      <rPr>
        <b/>
        <sz val="11"/>
        <color rgb="FFFF0000"/>
        <rFont val="Calibri"/>
        <family val="2"/>
        <charset val="238"/>
        <scheme val="minor"/>
      </rPr>
      <t>2021 év  vége</t>
    </r>
    <r>
      <rPr>
        <b/>
        <sz val="11"/>
        <rFont val="Calibri"/>
        <family val="2"/>
        <charset val="238"/>
        <scheme val="minor"/>
      </rPr>
      <t xml:space="preserve">
 </t>
    </r>
    <r>
      <rPr>
        <b/>
        <sz val="11"/>
        <color rgb="FF0070C0"/>
        <rFont val="Calibri"/>
        <family val="2"/>
        <charset val="238"/>
        <scheme val="minor"/>
      </rPr>
      <t>(A táblázat kitöltése és elemzése opcionális.)</t>
    </r>
  </si>
  <si>
    <r>
      <t xml:space="preserve"> ÓVODAI ELLÁTOTTSÁG
 </t>
    </r>
    <r>
      <rPr>
        <b/>
        <sz val="11"/>
        <color rgb="FFFF0000"/>
        <rFont val="Calibri"/>
        <family val="2"/>
        <charset val="238"/>
      </rPr>
      <t>(csak Önkormányzati fenntartású intézmény adatai)</t>
    </r>
  </si>
  <si>
    <t>18.00</t>
  </si>
  <si>
    <t xml:space="preserve"> -</t>
  </si>
  <si>
    <t>Forrás: TeIR, KSH-TSTAR, 2020-22 Önk</t>
  </si>
  <si>
    <t xml:space="preserve">  </t>
  </si>
  <si>
    <t>4.4.5. számú táblázat - A 8. évfolyamot eredményesen befejezők a nappali oktatásban</t>
  </si>
  <si>
    <t>Önkormányzati bölcsődébe beírt gyerekek száma</t>
  </si>
  <si>
    <r>
      <t xml:space="preserve">Az általános iskolai tanulók száma a gyógypedagógiai oktatásban (a nappali oktatásban) </t>
    </r>
    <r>
      <rPr>
        <sz val="11"/>
        <rFont val="Calibri"/>
        <family val="2"/>
        <charset val="238"/>
      </rPr>
      <t>(TS 080)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</si>
</sst>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.00&quot;%&quot;"/>
    <numFmt numFmtId="166" formatCode="0.0&quot;%&quot;"/>
    <numFmt numFmtId="167" formatCode="0.0%"/>
    <numFmt numFmtId="168" formatCode="0.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10" fontId="2" fillId="0" borderId="0" xfId="0" applyNumberFormat="1" applyFont="1"/>
    <xf numFmtId="3" fontId="4" fillId="0" borderId="0" xfId="0" applyNumberFormat="1" applyFont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8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10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9" fillId="0" borderId="0" xfId="0" applyFont="1"/>
    <xf numFmtId="3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0" fontId="2" fillId="0" borderId="7" xfId="0" applyFont="1" applyBorder="1"/>
    <xf numFmtId="0" fontId="12" fillId="3" borderId="1" xfId="0" applyFont="1" applyFill="1" applyBorder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0" fontId="2" fillId="4" borderId="1" xfId="1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1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" fillId="3" borderId="5" xfId="0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Border="1"/>
    <xf numFmtId="0" fontId="3" fillId="6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0" fontId="5" fillId="0" borderId="1" xfId="1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/>
    </xf>
    <xf numFmtId="3" fontId="5" fillId="2" borderId="0" xfId="0" applyNumberFormat="1" applyFont="1" applyFill="1" applyAlignment="1" applyProtection="1">
      <alignment horizontal="center" vertical="center" wrapText="1"/>
      <protection locked="0"/>
    </xf>
    <xf numFmtId="10" fontId="5" fillId="0" borderId="1" xfId="1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center" wrapText="1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2" applyNumberFormat="1" applyFont="1" applyFill="1" applyBorder="1" applyAlignment="1" applyProtection="1">
      <alignment horizontal="center" vertical="center"/>
    </xf>
    <xf numFmtId="1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4" borderId="5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wrapText="1"/>
    </xf>
    <xf numFmtId="0" fontId="1" fillId="0" borderId="0" xfId="0" applyFont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168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wrapText="1"/>
    </xf>
    <xf numFmtId="10" fontId="2" fillId="2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9" fillId="2" borderId="3" xfId="0" applyNumberFormat="1" applyFont="1" applyFill="1" applyBorder="1" applyAlignment="1">
      <alignment horizontal="center" vertical="center"/>
    </xf>
    <xf numFmtId="10" fontId="9" fillId="2" borderId="5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3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Ezres" xfId="2" builtinId="3"/>
    <cellStyle name="Normál" xfId="0" builtinId="0"/>
    <cellStyle name="Százalék" xfId="1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Lakónépesség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'Település Bemutatása - Népesség'!$B$2</c:f>
              <c:strCache>
                <c:ptCount val="1"/>
                <c:pt idx="0">
                  <c:v>Fő
(TS 001)</c:v>
                </c:pt>
              </c:strCache>
            </c:strRef>
          </c:tx>
          <c:invertIfNegative val="0"/>
          <c:cat>
            <c:numRef>
              <c:f>'Település Bemutatása - Népesség'!$A$3:$A$9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'Település Bemutatása - Népesség'!$B$3:$B$9</c:f>
              <c:numCache>
                <c:formatCode>#,##0</c:formatCode>
                <c:ptCount val="7"/>
                <c:pt idx="0">
                  <c:v>7469</c:v>
                </c:pt>
                <c:pt idx="1">
                  <c:v>7636</c:v>
                </c:pt>
                <c:pt idx="2">
                  <c:v>7850</c:v>
                </c:pt>
                <c:pt idx="3">
                  <c:v>8138</c:v>
                </c:pt>
                <c:pt idx="4">
                  <c:v>8347</c:v>
                </c:pt>
                <c:pt idx="5">
                  <c:v>8709</c:v>
                </c:pt>
                <c:pt idx="6">
                  <c:v>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D-464B-A3F0-07774C4CF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15648"/>
        <c:axId val="790109664"/>
      </c:barChart>
      <c:catAx>
        <c:axId val="7901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109664"/>
        <c:crosses val="autoZero"/>
        <c:auto val="1"/>
        <c:lblAlgn val="ctr"/>
        <c:lblOffset val="100"/>
        <c:noMultiLvlLbl val="0"/>
      </c:catAx>
      <c:valAx>
        <c:axId val="790109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011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Nyilvántartott álláskereső korcsoportok</a:t>
            </a:r>
            <a:r>
              <a:rPr lang="hu-HU" sz="1200" b="1" baseline="0">
                <a:solidFill>
                  <a:schemeClr val="tx1"/>
                </a:solidFill>
              </a:rPr>
              <a:t> szerint</a:t>
            </a:r>
            <a:endParaRPr lang="hu-HU" b="1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'3. Mélyszegények-Romák'!$J$4:$J$5</c:f>
              <c:strCache>
                <c:ptCount val="1"/>
                <c:pt idx="0">
                  <c:v>20 éves, vagy az alatti 
(TS 037)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Mélyszegények-Romák'!$L$5:$R$5</c:f>
              <c:numCache>
                <c:formatCode>0.00%</c:formatCode>
                <c:ptCount val="7"/>
                <c:pt idx="0">
                  <c:v>1.8867924528301886E-2</c:v>
                </c:pt>
                <c:pt idx="1">
                  <c:v>7.3170731707317069E-2</c:v>
                </c:pt>
                <c:pt idx="2">
                  <c:v>5.1724137931034482E-2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2.564102564102564E-2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1-42F8-9358-71BA38164857}"/>
            </c:ext>
          </c:extLst>
        </c:ser>
        <c:ser>
          <c:idx val="1"/>
          <c:order val="1"/>
          <c:tx>
            <c:strRef>
              <c:f>'3. Mélyszegények-Romák'!$J$6:$J$7</c:f>
              <c:strCache>
                <c:ptCount val="1"/>
                <c:pt idx="0">
                  <c:v>21-25 év (TS 038)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Mélyszegények-Romák'!$L$7:$R$7</c:f>
              <c:numCache>
                <c:formatCode>0.00%</c:formatCode>
                <c:ptCount val="7"/>
                <c:pt idx="0">
                  <c:v>0</c:v>
                </c:pt>
                <c:pt idx="1">
                  <c:v>7.3170731707317069E-2</c:v>
                </c:pt>
                <c:pt idx="2">
                  <c:v>8.6206896551724144E-2</c:v>
                </c:pt>
                <c:pt idx="3">
                  <c:v>0.06</c:v>
                </c:pt>
                <c:pt idx="4">
                  <c:v>2.3255813953488372E-2</c:v>
                </c:pt>
                <c:pt idx="5">
                  <c:v>7.6923076923076927E-2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1-42F8-9358-71BA38164857}"/>
            </c:ext>
          </c:extLst>
        </c:ser>
        <c:ser>
          <c:idx val="2"/>
          <c:order val="2"/>
          <c:tx>
            <c:strRef>
              <c:f>'3. Mélyszegények-Romák'!$J$8:$J$9</c:f>
              <c:strCache>
                <c:ptCount val="1"/>
                <c:pt idx="0">
                  <c:v>26-30 év (TS 039)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Mélyszegények-Romák'!$L$9:$R$9</c:f>
              <c:numCache>
                <c:formatCode>0.00%</c:formatCode>
                <c:ptCount val="7"/>
                <c:pt idx="0">
                  <c:v>7.5471698113207544E-2</c:v>
                </c:pt>
                <c:pt idx="1">
                  <c:v>2.4390243902439025E-2</c:v>
                </c:pt>
                <c:pt idx="2">
                  <c:v>5.1724137931034482E-2</c:v>
                </c:pt>
                <c:pt idx="3">
                  <c:v>0.04</c:v>
                </c:pt>
                <c:pt idx="4">
                  <c:v>9.3023255813953487E-2</c:v>
                </c:pt>
                <c:pt idx="5">
                  <c:v>7.6923076923076927E-2</c:v>
                </c:pt>
                <c:pt idx="6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61-42F8-9358-71BA38164857}"/>
            </c:ext>
          </c:extLst>
        </c:ser>
        <c:ser>
          <c:idx val="3"/>
          <c:order val="3"/>
          <c:tx>
            <c:strRef>
              <c:f>'3. Mélyszegények-Romák'!$J$10:$J$11</c:f>
              <c:strCache>
                <c:ptCount val="1"/>
                <c:pt idx="0">
                  <c:v>31-35 év (TS 040)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Mélyszegények-Romák'!$L$11:$R$11</c:f>
              <c:numCache>
                <c:formatCode>0.00%</c:formatCode>
                <c:ptCount val="7"/>
                <c:pt idx="0">
                  <c:v>3.7735849056603772E-2</c:v>
                </c:pt>
                <c:pt idx="1">
                  <c:v>2.4390243902439025E-2</c:v>
                </c:pt>
                <c:pt idx="2">
                  <c:v>0.10344827586206896</c:v>
                </c:pt>
                <c:pt idx="3">
                  <c:v>0.12</c:v>
                </c:pt>
                <c:pt idx="4">
                  <c:v>0.13953488372093023</c:v>
                </c:pt>
                <c:pt idx="5">
                  <c:v>0.12307692307692308</c:v>
                </c:pt>
                <c:pt idx="6">
                  <c:v>5.128205128205128E-2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61-42F8-9358-71BA38164857}"/>
            </c:ext>
          </c:extLst>
        </c:ser>
        <c:ser>
          <c:idx val="4"/>
          <c:order val="4"/>
          <c:tx>
            <c:strRef>
              <c:f>'3. Mélyszegények-Romák'!$J$12:$J$13</c:f>
              <c:strCache>
                <c:ptCount val="1"/>
                <c:pt idx="0">
                  <c:v>36-40 év (TS 041)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Mélyszegények-Romák'!$L$13:$R$13</c:f>
              <c:numCache>
                <c:formatCode>0.00%</c:formatCode>
                <c:ptCount val="7"/>
                <c:pt idx="0">
                  <c:v>0.13207547169811321</c:v>
                </c:pt>
                <c:pt idx="1">
                  <c:v>9.7560975609756101E-2</c:v>
                </c:pt>
                <c:pt idx="2">
                  <c:v>5.1724137931034482E-2</c:v>
                </c:pt>
                <c:pt idx="3">
                  <c:v>0.08</c:v>
                </c:pt>
                <c:pt idx="4">
                  <c:v>6.9767441860465115E-2</c:v>
                </c:pt>
                <c:pt idx="5">
                  <c:v>6.1538461538461542E-2</c:v>
                </c:pt>
                <c:pt idx="6">
                  <c:v>0.12820512820512819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61-42F8-9358-71BA38164857}"/>
            </c:ext>
          </c:extLst>
        </c:ser>
        <c:ser>
          <c:idx val="5"/>
          <c:order val="5"/>
          <c:tx>
            <c:strRef>
              <c:f>'3. Mélyszegények-Romák'!$J$14:$J$15</c:f>
              <c:strCache>
                <c:ptCount val="1"/>
                <c:pt idx="0">
                  <c:v>41-45 év (TS 042)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Mélyszegények-Romák'!$L$15:$R$15</c:f>
              <c:numCache>
                <c:formatCode>0.00%</c:formatCode>
                <c:ptCount val="7"/>
                <c:pt idx="0">
                  <c:v>0.18867924528301888</c:v>
                </c:pt>
                <c:pt idx="1">
                  <c:v>0.21951219512195122</c:v>
                </c:pt>
                <c:pt idx="2">
                  <c:v>0.18965517241379309</c:v>
                </c:pt>
                <c:pt idx="3">
                  <c:v>0.16</c:v>
                </c:pt>
                <c:pt idx="4">
                  <c:v>0.16279069767441862</c:v>
                </c:pt>
                <c:pt idx="5">
                  <c:v>0.13846153846153847</c:v>
                </c:pt>
                <c:pt idx="6">
                  <c:v>0.12820512820512819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61-42F8-9358-71BA38164857}"/>
            </c:ext>
          </c:extLst>
        </c:ser>
        <c:ser>
          <c:idx val="6"/>
          <c:order val="6"/>
          <c:tx>
            <c:strRef>
              <c:f>'3. Mélyszegények-Romák'!$J$16:$J$17</c:f>
              <c:strCache>
                <c:ptCount val="1"/>
                <c:pt idx="0">
                  <c:v>46-50 év (TS 043)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Mélyszegények-Romák'!$L$17:$R$17</c:f>
              <c:numCache>
                <c:formatCode>0.00%</c:formatCode>
                <c:ptCount val="7"/>
                <c:pt idx="0">
                  <c:v>9.4339622641509441E-2</c:v>
                </c:pt>
                <c:pt idx="1">
                  <c:v>0.14634146341463414</c:v>
                </c:pt>
                <c:pt idx="2">
                  <c:v>6.8965517241379309E-2</c:v>
                </c:pt>
                <c:pt idx="3">
                  <c:v>0.14000000000000001</c:v>
                </c:pt>
                <c:pt idx="4">
                  <c:v>0.11627906976744186</c:v>
                </c:pt>
                <c:pt idx="5">
                  <c:v>0.18461538461538463</c:v>
                </c:pt>
                <c:pt idx="6">
                  <c:v>0.17948717948717949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61-42F8-9358-71BA38164857}"/>
            </c:ext>
          </c:extLst>
        </c:ser>
        <c:ser>
          <c:idx val="7"/>
          <c:order val="7"/>
          <c:tx>
            <c:strRef>
              <c:f>'3. Mélyszegények-Romák'!$J$18:$J$19</c:f>
              <c:strCache>
                <c:ptCount val="1"/>
                <c:pt idx="0">
                  <c:v>51-55 év (TS 044)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Mélyszegények-Romák'!$L$19:$R$19</c:f>
              <c:numCache>
                <c:formatCode>0.00%</c:formatCode>
                <c:ptCount val="7"/>
                <c:pt idx="0">
                  <c:v>7.5471698113207544E-2</c:v>
                </c:pt>
                <c:pt idx="1">
                  <c:v>2.4390243902439025E-2</c:v>
                </c:pt>
                <c:pt idx="2">
                  <c:v>6.8965517241379309E-2</c:v>
                </c:pt>
                <c:pt idx="3">
                  <c:v>0.02</c:v>
                </c:pt>
                <c:pt idx="4">
                  <c:v>0.13953488372093023</c:v>
                </c:pt>
                <c:pt idx="5">
                  <c:v>1.5384615384615385E-2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61-42F8-9358-71BA38164857}"/>
            </c:ext>
          </c:extLst>
        </c:ser>
        <c:ser>
          <c:idx val="8"/>
          <c:order val="8"/>
          <c:tx>
            <c:strRef>
              <c:f>'3. Mélyszegények-Romák'!$J$20:$J$21</c:f>
              <c:strCache>
                <c:ptCount val="1"/>
                <c:pt idx="0">
                  <c:v>56-60 év (TS 045)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Mélyszegények-Romák'!$L$21:$R$21</c:f>
              <c:numCache>
                <c:formatCode>0.00%</c:formatCode>
                <c:ptCount val="7"/>
                <c:pt idx="0">
                  <c:v>0.22641509433962265</c:v>
                </c:pt>
                <c:pt idx="1">
                  <c:v>0.17073170731707318</c:v>
                </c:pt>
                <c:pt idx="2">
                  <c:v>0.13793103448275862</c:v>
                </c:pt>
                <c:pt idx="3">
                  <c:v>0.06</c:v>
                </c:pt>
                <c:pt idx="4">
                  <c:v>4.6511627906976744E-2</c:v>
                </c:pt>
                <c:pt idx="5">
                  <c:v>0.13846153846153847</c:v>
                </c:pt>
                <c:pt idx="6">
                  <c:v>0.10256410256410256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61-42F8-9358-71BA38164857}"/>
            </c:ext>
          </c:extLst>
        </c:ser>
        <c:ser>
          <c:idx val="9"/>
          <c:order val="9"/>
          <c:tx>
            <c:strRef>
              <c:f>'3. Mélyszegények-Romák'!$J$22:$J$23</c:f>
              <c:strCache>
                <c:ptCount val="1"/>
                <c:pt idx="0">
                  <c:v>61 éves, vagy afeletti (TS 046)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Mélyszegények-Romák'!$L$23:$R$23</c:f>
              <c:numCache>
                <c:formatCode>0.00%</c:formatCode>
                <c:ptCount val="7"/>
                <c:pt idx="0">
                  <c:v>0.15094339622641509</c:v>
                </c:pt>
                <c:pt idx="1">
                  <c:v>0.14634146341463414</c:v>
                </c:pt>
                <c:pt idx="2">
                  <c:v>0.18965517241379309</c:v>
                </c:pt>
                <c:pt idx="3">
                  <c:v>0.32</c:v>
                </c:pt>
                <c:pt idx="4">
                  <c:v>0.20930232558139536</c:v>
                </c:pt>
                <c:pt idx="5">
                  <c:v>0.18461538461538463</c:v>
                </c:pt>
                <c:pt idx="6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61-42F8-9358-71BA3816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0102592"/>
        <c:axId val="790104224"/>
        <c:axId val="789026384"/>
      </c:bar3DChart>
      <c:catAx>
        <c:axId val="7901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4224"/>
        <c:crosses val="autoZero"/>
        <c:auto val="1"/>
        <c:lblAlgn val="ctr"/>
        <c:lblOffset val="100"/>
        <c:noMultiLvlLbl val="0"/>
      </c:catAx>
      <c:valAx>
        <c:axId val="790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2592"/>
        <c:crosses val="autoZero"/>
        <c:crossBetween val="between"/>
      </c:valAx>
      <c:serAx>
        <c:axId val="7890263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42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Passzív foglalkoztatás-politikiai eszkökkel</a:t>
            </a:r>
            <a:r>
              <a:rPr lang="hu-HU" sz="1200" b="1" baseline="0">
                <a:solidFill>
                  <a:schemeClr val="tx1"/>
                </a:solidFill>
              </a:rPr>
              <a:t> támogatottak száma a </a:t>
            </a:r>
            <a:r>
              <a:rPr lang="en-US" sz="1200" b="1">
                <a:solidFill>
                  <a:schemeClr val="tx1"/>
                </a:solidFill>
              </a:rPr>
              <a:t>15-64 év közötti népesség  </a:t>
            </a:r>
            <a:r>
              <a:rPr lang="hu-HU" sz="1200" b="1">
                <a:solidFill>
                  <a:schemeClr val="tx1"/>
                </a:solidFill>
              </a:rPr>
              <a:t>arányában II.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 Mélyszegények-Romák'!$AW$2:$AX$2</c:f>
              <c:strCache>
                <c:ptCount val="1"/>
                <c:pt idx="0">
                  <c:v>Szociális támogatásban részesülő nyilvántartott álláskeresők száma
(TS 048)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f>'3. Mélyszegények-Romák'!$AV$4:$AV$10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Mélyszegények-Romák'!$AX$4:$AX$10</c:f>
              <c:numCache>
                <c:formatCode>0.00%</c:formatCode>
                <c:ptCount val="7"/>
                <c:pt idx="0">
                  <c:v>9.4339622641509441E-2</c:v>
                </c:pt>
                <c:pt idx="1">
                  <c:v>0.12195121951219512</c:v>
                </c:pt>
                <c:pt idx="2">
                  <c:v>6.8965517241379309E-2</c:v>
                </c:pt>
                <c:pt idx="3">
                  <c:v>0.08</c:v>
                </c:pt>
                <c:pt idx="4">
                  <c:v>4.6511627906976744E-2</c:v>
                </c:pt>
                <c:pt idx="5">
                  <c:v>4.6153846153846156E-2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9-41D7-A450-4C481FB5267C}"/>
            </c:ext>
          </c:extLst>
        </c:ser>
        <c:ser>
          <c:idx val="0"/>
          <c:order val="1"/>
          <c:tx>
            <c:strRef>
              <c:f>'3. Mélyszegények-Romák'!$AY$2:$AZ$2</c:f>
              <c:strCache>
                <c:ptCount val="1"/>
                <c:pt idx="0">
                  <c:v>Foglalkoztatást helyettesítő támogatásban részesítettek átlagos havi száma (TS 054)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f>'3. Mélyszegények-Romák'!$AV$4:$AV$10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Mélyszegények-Romák'!$AZ$4:$AZ$10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5.1896551724137929E-2</c:v>
                </c:pt>
                <c:pt idx="3">
                  <c:v>4.24E-2</c:v>
                </c:pt>
                <c:pt idx="4">
                  <c:v>5.0232558139534887E-2</c:v>
                </c:pt>
                <c:pt idx="5">
                  <c:v>2.6923076923076925E-2</c:v>
                </c:pt>
                <c:pt idx="6">
                  <c:v>3.1538461538461536E-2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9-41D7-A450-4C481FB5267C}"/>
            </c:ext>
          </c:extLst>
        </c:ser>
        <c:ser>
          <c:idx val="2"/>
          <c:order val="2"/>
          <c:tx>
            <c:strRef>
              <c:f>'3. Mélyszegények-Romák'!$BA$2:$BB$2</c:f>
              <c:strCache>
                <c:ptCount val="1"/>
                <c:pt idx="0">
                  <c:v>Ellátásban részesülő nyilvántartott álláskeresők száma (TS 049)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f>'3. Mélyszegények-Romák'!$AV$4:$AV$10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Mélyszegények-Romák'!$BB$4:$BB$10</c:f>
              <c:numCache>
                <c:formatCode>0.00%</c:formatCode>
                <c:ptCount val="7"/>
                <c:pt idx="0">
                  <c:v>0.47169811320754718</c:v>
                </c:pt>
                <c:pt idx="1">
                  <c:v>0.36585365853658536</c:v>
                </c:pt>
                <c:pt idx="2">
                  <c:v>0.46551724137931033</c:v>
                </c:pt>
                <c:pt idx="3">
                  <c:v>0.56000000000000005</c:v>
                </c:pt>
                <c:pt idx="4">
                  <c:v>0.46511627906976744</c:v>
                </c:pt>
                <c:pt idx="5">
                  <c:v>0.52307692307692311</c:v>
                </c:pt>
                <c:pt idx="6">
                  <c:v>0.48717948717948717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9-41D7-A450-4C481FB52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04768"/>
        <c:axId val="790106400"/>
      </c:barChart>
      <c:catAx>
        <c:axId val="7901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6400"/>
        <c:crosses val="autoZero"/>
        <c:auto val="1"/>
        <c:lblAlgn val="ctr"/>
        <c:lblOffset val="100"/>
        <c:noMultiLvlLbl val="0"/>
      </c:catAx>
      <c:valAx>
        <c:axId val="79010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Lakhatást segítő támogatások </a:t>
            </a:r>
            <a:endParaRPr lang="hu-H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'3. Mélyszegények-Romák'!$BY$2</c:f>
              <c:strCache>
                <c:ptCount val="1"/>
                <c:pt idx="0">
                  <c:v>Települési támogatásban részesítettek száma
(pénzbeli és természetbeni)
(TS 136)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 Mélyszegények-Romák'!$BX$4:$BX$9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'3. Mélyszegények-Romák'!$BY$4:$BY$9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291</c:v>
                </c:pt>
                <c:pt idx="3">
                  <c:v>259</c:v>
                </c:pt>
                <c:pt idx="4">
                  <c:v>278</c:v>
                </c:pt>
                <c:pt idx="5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1-478B-A977-C395167D2A2C}"/>
            </c:ext>
          </c:extLst>
        </c:ser>
        <c:ser>
          <c:idx val="3"/>
          <c:order val="1"/>
          <c:tx>
            <c:strRef>
              <c:f>'3. Mélyszegények-Romák'!$BZ$2</c:f>
              <c:strCache>
                <c:ptCount val="1"/>
                <c:pt idx="0">
                  <c:v>Egyéb önkormányzati támogatásban 
részesítettek száma
(TS 137)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'3. Mélyszegények-Romák'!$BX$4:$BX$9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'3. Mélyszegények-Romák'!$BZ$4:$BZ$9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1-478B-A977-C395167D2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109120"/>
        <c:axId val="790106944"/>
      </c:barChart>
      <c:catAx>
        <c:axId val="7901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6944"/>
        <c:crosses val="autoZero"/>
        <c:auto val="1"/>
        <c:lblAlgn val="ctr"/>
        <c:lblOffset val="100"/>
        <c:noMultiLvlLbl val="0"/>
      </c:catAx>
      <c:valAx>
        <c:axId val="7901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Egészségügyi ellátás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 Mélyszegények-Romák'!$CC$2</c:f>
              <c:strCache>
                <c:ptCount val="1"/>
                <c:pt idx="0">
                  <c:v>Felnőttek és gyermekek részére szervezett háziorvosi szolgálatok száma
(TS 107)
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Mélyszegények-Romák'!$CB$4:$CB$10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Mélyszegények-Romák'!$CC$4:$CC$10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8-4AC5-A633-27A59636F038}"/>
            </c:ext>
          </c:extLst>
        </c:ser>
        <c:ser>
          <c:idx val="2"/>
          <c:order val="1"/>
          <c:tx>
            <c:strRef>
              <c:f>'3. Mélyszegények-Romák'!$CD$2</c:f>
              <c:strCache>
                <c:ptCount val="1"/>
                <c:pt idx="0">
                  <c:v>Csak felnőttek részére szervezett háziorvosi szolgáltatások száma
(TS 106)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 Mélyszegények-Romák'!$CB$4:$CB$10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Mélyszegények-Romák'!$CD$4:$CD$10</c:f>
              <c:numCache>
                <c:formatCode>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88-4AC5-A633-27A59636F038}"/>
            </c:ext>
          </c:extLst>
        </c:ser>
        <c:ser>
          <c:idx val="3"/>
          <c:order val="2"/>
          <c:tx>
            <c:strRef>
              <c:f>'3. Mélyszegények-Romák'!$CE$2</c:f>
              <c:strCache>
                <c:ptCount val="1"/>
                <c:pt idx="0">
                  <c:v>A házi gyermekorvosok által ellátott szolgálatok száma
(TS 108)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'3. Mélyszegények-Romák'!$CB$4:$CB$10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Mélyszegények-Romák'!$CE$4:$CE$10</c:f>
              <c:numCache>
                <c:formatCode>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88-4AC5-A633-27A59636F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107488"/>
        <c:axId val="790114560"/>
      </c:barChart>
      <c:catAx>
        <c:axId val="7901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14560"/>
        <c:crosses val="autoZero"/>
        <c:auto val="1"/>
        <c:lblAlgn val="ctr"/>
        <c:lblOffset val="100"/>
        <c:noMultiLvlLbl val="0"/>
      </c:catAx>
      <c:valAx>
        <c:axId val="79011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48045597531827"/>
          <c:y val="0.70958121415946263"/>
          <c:w val="0.7328990638886107"/>
          <c:h val="0.26775212789944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Mélyszegények-Romák'!$CK$2</c:f>
              <c:strCache>
                <c:ptCount val="1"/>
                <c:pt idx="0">
                  <c:v>Népkonyhán kiosztott  
ételadagok száma (db)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 Mélyszegények-Romák'!$CJ$3:$CJ$8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'3. Mélyszegények-Romák'!$CK$3:$CK$8</c:f>
              <c:numCache>
                <c:formatCode>#,##0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2-48AA-B043-DE62A0F6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108032"/>
        <c:axId val="790111296"/>
      </c:lineChart>
      <c:catAx>
        <c:axId val="7901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11296"/>
        <c:crosses val="autoZero"/>
        <c:auto val="1"/>
        <c:lblAlgn val="ctr"/>
        <c:lblOffset val="100"/>
        <c:noMultiLvlLbl val="0"/>
      </c:catAx>
      <c:valAx>
        <c:axId val="79011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Jövedelmi helyzet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2648984976920546"/>
          <c:y val="0.1359150044383057"/>
          <c:w val="0.81042059530076038"/>
          <c:h val="0.63982782581292652"/>
        </c:manualLayout>
      </c:layout>
      <c:scatterChart>
        <c:scatterStyle val="lineMarker"/>
        <c:varyColors val="0"/>
        <c:ser>
          <c:idx val="0"/>
          <c:order val="0"/>
          <c:tx>
            <c:v>SZJA adófizetők száma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'3. Mélyszegények-Romák'!$A$4:$A$9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'3. Mélyszegények-Romák'!$B$4:$B$9</c:f>
              <c:numCache>
                <c:formatCode>#,##0.00</c:formatCode>
                <c:ptCount val="6"/>
                <c:pt idx="0">
                  <c:v>43.13</c:v>
                </c:pt>
                <c:pt idx="1">
                  <c:v>46.63</c:v>
                </c:pt>
                <c:pt idx="2">
                  <c:v>46.28</c:v>
                </c:pt>
                <c:pt idx="3">
                  <c:v>45.55</c:v>
                </c:pt>
                <c:pt idx="4">
                  <c:v>45.61</c:v>
                </c:pt>
                <c:pt idx="5">
                  <c:v>46.4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AB-41A1-9BAE-F00D0D52E8CB}"/>
            </c:ext>
          </c:extLst>
        </c:ser>
        <c:ser>
          <c:idx val="1"/>
          <c:order val="1"/>
          <c:tx>
            <c:v>SZJA adófizetők közül a 0-1 millió sávba tartozóak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'3. Mélyszegények-Romák'!$A$4:$A$9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'3. Mélyszegények-Romák'!$C$4:$C$9</c:f>
              <c:numCache>
                <c:formatCode>#,##0.00</c:formatCode>
                <c:ptCount val="6"/>
                <c:pt idx="0">
                  <c:v>27.07</c:v>
                </c:pt>
                <c:pt idx="1">
                  <c:v>28.86</c:v>
                </c:pt>
                <c:pt idx="2">
                  <c:v>27.46</c:v>
                </c:pt>
                <c:pt idx="3">
                  <c:v>23.61</c:v>
                </c:pt>
                <c:pt idx="4">
                  <c:v>22.25</c:v>
                </c:pt>
                <c:pt idx="5">
                  <c:v>22.1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AB-41A1-9BAE-F00D0D52E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593424"/>
        <c:axId val="824584720"/>
      </c:scatterChart>
      <c:valAx>
        <c:axId val="82459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4720"/>
        <c:crosses val="autoZero"/>
        <c:crossBetween val="midCat"/>
      </c:valAx>
      <c:valAx>
        <c:axId val="8245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9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02238990168045"/>
          <c:y val="0.87208909097150444"/>
          <c:w val="0.81695184934414644"/>
          <c:h val="0.12396325126578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Munkanélküliség nemek szerint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Mélyszegények-Romák'!$F$3</c:f>
              <c:strCache>
                <c:ptCount val="1"/>
                <c:pt idx="0">
                  <c:v>Férfiak aránya 
(TS 033)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Mélyszegények-Romák'!$E$4:$E$10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Mélyszegények-Romák'!$F$4:$F$10</c:f>
              <c:numCache>
                <c:formatCode>0.00%</c:formatCode>
                <c:ptCount val="7"/>
                <c:pt idx="0">
                  <c:v>8.9999999999999993E-3</c:v>
                </c:pt>
                <c:pt idx="1">
                  <c:v>6.7000000000000002E-3</c:v>
                </c:pt>
                <c:pt idx="2">
                  <c:v>9.5999999999999992E-3</c:v>
                </c:pt>
                <c:pt idx="3">
                  <c:v>6.0000000000000001E-3</c:v>
                </c:pt>
                <c:pt idx="4">
                  <c:v>6.7000000000000002E-3</c:v>
                </c:pt>
                <c:pt idx="5">
                  <c:v>1.0999999999999999E-2</c:v>
                </c:pt>
                <c:pt idx="6">
                  <c:v>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6-4DCF-8715-DCB76EBD8FB4}"/>
            </c:ext>
          </c:extLst>
        </c:ser>
        <c:ser>
          <c:idx val="1"/>
          <c:order val="1"/>
          <c:tx>
            <c:strRef>
              <c:f>'3. Mélyszegények-Romák'!$G$3</c:f>
              <c:strCache>
                <c:ptCount val="1"/>
                <c:pt idx="0">
                  <c:v>Nők aránya 
(TS 034)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Mélyszegények-Romák'!$E$4:$E$10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Mélyszegények-Romák'!$G$4:$G$10</c:f>
              <c:numCache>
                <c:formatCode>0.00%</c:formatCode>
                <c:ptCount val="7"/>
                <c:pt idx="0">
                  <c:v>1.1299999999999999E-2</c:v>
                </c:pt>
                <c:pt idx="1">
                  <c:v>8.9999999999999993E-3</c:v>
                </c:pt>
                <c:pt idx="2">
                  <c:v>1.21E-2</c:v>
                </c:pt>
                <c:pt idx="3">
                  <c:v>1.23E-2</c:v>
                </c:pt>
                <c:pt idx="4">
                  <c:v>8.9999999999999993E-3</c:v>
                </c:pt>
                <c:pt idx="5">
                  <c:v>1.23E-2</c:v>
                </c:pt>
                <c:pt idx="6">
                  <c:v>5.7999999999999996E-3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6-4DCF-8715-DCB76EBD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4592880"/>
        <c:axId val="824581456"/>
      </c:barChart>
      <c:catAx>
        <c:axId val="82459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1456"/>
        <c:crosses val="autoZero"/>
        <c:auto val="1"/>
        <c:lblAlgn val="ctr"/>
        <c:lblOffset val="100"/>
        <c:noMultiLvlLbl val="0"/>
      </c:catAx>
      <c:valAx>
        <c:axId val="82458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9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180 napnál</a:t>
            </a:r>
            <a:r>
              <a:rPr lang="hu-HU" sz="1200" b="1" baseline="0">
                <a:solidFill>
                  <a:schemeClr val="tx1"/>
                </a:solidFill>
              </a:rPr>
              <a:t> hosszabb ideje álláskeresők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180 napnál régebb óta regisztrált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Mélyszegények-Romák'!$U$5:$U$11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Mélyszegények-Romák'!$V$5:$V$11</c:f>
              <c:numCache>
                <c:formatCode>0.00%</c:formatCode>
                <c:ptCount val="7"/>
                <c:pt idx="0">
                  <c:v>0.54720000000000002</c:v>
                </c:pt>
                <c:pt idx="1">
                  <c:v>0.58540000000000003</c:v>
                </c:pt>
                <c:pt idx="2">
                  <c:v>0.55169999999999997</c:v>
                </c:pt>
                <c:pt idx="3">
                  <c:v>0.54</c:v>
                </c:pt>
                <c:pt idx="4">
                  <c:v>0.39529999999999998</c:v>
                </c:pt>
                <c:pt idx="5">
                  <c:v>0.41539999999999999</c:v>
                </c:pt>
                <c:pt idx="6">
                  <c:v>0.5897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3-4E76-9ACE-CAB038DD34BF}"/>
            </c:ext>
          </c:extLst>
        </c:ser>
        <c:ser>
          <c:idx val="1"/>
          <c:order val="1"/>
          <c:tx>
            <c:v>Nők arénya a 180 napon túl regisztáltak között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Mélyszegények-Romák'!$U$5:$U$11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Mélyszegények-Romák'!$W$5:$W$11</c:f>
              <c:numCache>
                <c:formatCode>0.00%</c:formatCode>
                <c:ptCount val="7"/>
                <c:pt idx="0">
                  <c:v>0.62070000000000003</c:v>
                </c:pt>
                <c:pt idx="1">
                  <c:v>0.54169999999999996</c:v>
                </c:pt>
                <c:pt idx="2">
                  <c:v>0.59379999999999999</c:v>
                </c:pt>
                <c:pt idx="3">
                  <c:v>0.70369999999999999</c:v>
                </c:pt>
                <c:pt idx="4">
                  <c:v>0.52939999999999998</c:v>
                </c:pt>
                <c:pt idx="5">
                  <c:v>0.48149999999999998</c:v>
                </c:pt>
                <c:pt idx="6">
                  <c:v>0.43480000000000002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3-4E76-9ACE-CAB038DD3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4585264"/>
        <c:axId val="824586352"/>
      </c:barChart>
      <c:catAx>
        <c:axId val="82458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6352"/>
        <c:crosses val="autoZero"/>
        <c:auto val="1"/>
        <c:lblAlgn val="ctr"/>
        <c:lblOffset val="100"/>
        <c:noMultiLvlLbl val="0"/>
      </c:catAx>
      <c:valAx>
        <c:axId val="82458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Aktív foglalkoztatáspolitikai eszközökkel támogatottak</a:t>
            </a:r>
            <a:r>
              <a:rPr lang="hu-HU" sz="1200" b="1" baseline="0">
                <a:solidFill>
                  <a:schemeClr val="tx1"/>
                </a:solidFill>
              </a:rPr>
              <a:t> és közfoglalkoztatottak száma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Aktív foglalkoztatás-politikai eszközökkel támogatottak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 Mélyszegények-Romák'!$AH$4:$AH$10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Mélyszegények-Romák'!$AI$4:$AI$10</c:f>
              <c:numCache>
                <c:formatCode>0</c:formatCode>
                <c:ptCount val="7"/>
                <c:pt idx="0">
                  <c:v>18</c:v>
                </c:pt>
                <c:pt idx="1">
                  <c:v>1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86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A-47C2-8C43-881B5A77D45F}"/>
            </c:ext>
          </c:extLst>
        </c:ser>
        <c:ser>
          <c:idx val="1"/>
          <c:order val="1"/>
          <c:tx>
            <c:v>Közfoglalkozottak éves átlaga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 Mélyszegények-Romák'!$AH$4:$AH$10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Mélyszegények-Romák'!$AJ$4:$AJ$10</c:f>
              <c:numCache>
                <c:formatCode>0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A-47C2-8C43-881B5A77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587984"/>
        <c:axId val="824580912"/>
      </c:lineChart>
      <c:catAx>
        <c:axId val="8245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0912"/>
        <c:crosses val="autoZero"/>
        <c:auto val="1"/>
        <c:lblAlgn val="ctr"/>
        <c:lblOffset val="100"/>
        <c:noMultiLvlLbl val="0"/>
      </c:catAx>
      <c:valAx>
        <c:axId val="82458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Álláskeresők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Nyilvántartott álláskeresők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Mélyszegények-Romák'!$AL$4:$AL$10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Mélyszegények-Romák'!$AM$4:$AM$10</c:f>
              <c:numCache>
                <c:formatCode>0</c:formatCode>
                <c:ptCount val="7"/>
                <c:pt idx="0">
                  <c:v>53</c:v>
                </c:pt>
                <c:pt idx="1">
                  <c:v>41</c:v>
                </c:pt>
                <c:pt idx="2">
                  <c:v>58</c:v>
                </c:pt>
                <c:pt idx="3">
                  <c:v>50</c:v>
                </c:pt>
                <c:pt idx="4">
                  <c:v>43</c:v>
                </c:pt>
                <c:pt idx="5">
                  <c:v>65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14-AAA8-619052954C38}"/>
            </c:ext>
          </c:extLst>
        </c:ser>
        <c:ser>
          <c:idx val="1"/>
          <c:order val="1"/>
          <c:tx>
            <c:v>Nyilvántartott pályakezdő álláskeresők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Mélyszegények-Romák'!$AL$4:$AL$10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Mélyszegények-Romák'!$AN$4:$AN$10</c:f>
              <c:numCache>
                <c:formatCode>0</c:formatCode>
                <c:ptCount val="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14-AAA8-619052954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4579824"/>
        <c:axId val="824585808"/>
      </c:barChart>
      <c:catAx>
        <c:axId val="824579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5808"/>
        <c:crosses val="autoZero"/>
        <c:auto val="1"/>
        <c:lblAlgn val="ctr"/>
        <c:lblOffset val="100"/>
        <c:noMultiLvlLbl val="0"/>
      </c:catAx>
      <c:valAx>
        <c:axId val="82458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7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hu-HU" sz="1200"/>
              <a:t>Állandó népesség</a:t>
            </a:r>
            <a:r>
              <a:rPr lang="hu-HU" sz="1200" baseline="0"/>
              <a:t> - férfiak életkori megoszlása</a:t>
            </a:r>
          </a:p>
          <a:p>
            <a:pPr>
              <a:defRPr sz="1200"/>
            </a:pPr>
            <a:endParaRPr lang="hu-HU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828669901110843"/>
          <c:y val="0.20171325185540739"/>
          <c:w val="0.38293175683776337"/>
          <c:h val="0.74273961604241034"/>
        </c:manualLayout>
      </c:layout>
      <c:pieChart>
        <c:varyColors val="1"/>
        <c:ser>
          <c:idx val="0"/>
          <c:order val="0"/>
          <c:tx>
            <c:strRef>
              <c:f>'Település Bemutatása - Népesség'!$G$3</c:f>
              <c:strCache>
                <c:ptCount val="1"/>
                <c:pt idx="0">
                  <c:v>Férfiak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1"/>
            <c:bubble3D val="0"/>
            <c:spPr>
              <a:solidFill>
                <a:srgbClr val="7030A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6B-42DF-B935-652391B10FB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F6B-42DF-B935-652391B10FB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F6B-42DF-B935-652391B10FB3}"/>
              </c:ext>
            </c:extLst>
          </c:dPt>
          <c:dLbls>
            <c:dLbl>
              <c:idx val="2"/>
              <c:layout>
                <c:manualLayout>
                  <c:x val="6.7487573594455258E-2"/>
                  <c:y val="-0.1387020671678315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6B-42DF-B935-652391B10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'0-14 évesek</c:v>
              </c:pt>
              <c:pt idx="1">
                <c:v>15-17 évesek</c:v>
              </c:pt>
              <c:pt idx="2">
                <c:v>18-59 évesek</c:v>
              </c:pt>
              <c:pt idx="3">
                <c:v>60-64 évesek</c:v>
              </c:pt>
              <c:pt idx="4">
                <c:v>65 év felettiek'</c:v>
              </c:pt>
            </c:strLit>
          </c:cat>
          <c:val>
            <c:numRef>
              <c:f>'Település Bemutatása - Népesség'!$G$6:$G$10</c:f>
              <c:numCache>
                <c:formatCode>General</c:formatCode>
                <c:ptCount val="5"/>
                <c:pt idx="0">
                  <c:v>933</c:v>
                </c:pt>
                <c:pt idx="1">
                  <c:v>166</c:v>
                </c:pt>
                <c:pt idx="2">
                  <c:v>2280</c:v>
                </c:pt>
                <c:pt idx="3">
                  <c:v>218</c:v>
                </c:pt>
                <c:pt idx="4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6B-42DF-B935-652391B10FB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215530634428282"/>
          <c:y val="0.28021542916534753"/>
          <c:w val="0.23994161857577515"/>
          <c:h val="0.56578044954006634"/>
        </c:manualLayout>
      </c:layout>
      <c:overlay val="0"/>
      <c:txPr>
        <a:bodyPr/>
        <a:lstStyle/>
        <a:p>
          <a:pPr rtl="0">
            <a:defRPr sz="1100"/>
          </a:pPr>
          <a:endParaRPr lang="hu-HU"/>
        </a:p>
      </c:txPr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Passzív foglalkoztatáspolitkai eszközök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Nyilvántartott álláskeresők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 Mélyszegények-Romák'!$AP$4:$AP$10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Mélyszegények-Romák'!$AQ$4:$AQ$10</c:f>
              <c:numCache>
                <c:formatCode>0</c:formatCode>
                <c:ptCount val="7"/>
                <c:pt idx="0">
                  <c:v>53</c:v>
                </c:pt>
                <c:pt idx="1">
                  <c:v>41</c:v>
                </c:pt>
                <c:pt idx="2">
                  <c:v>58</c:v>
                </c:pt>
                <c:pt idx="3">
                  <c:v>50</c:v>
                </c:pt>
                <c:pt idx="4">
                  <c:v>43</c:v>
                </c:pt>
                <c:pt idx="5">
                  <c:v>65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8-4533-8840-71557CA433DA}"/>
            </c:ext>
          </c:extLst>
        </c:ser>
        <c:ser>
          <c:idx val="1"/>
          <c:order val="1"/>
          <c:tx>
            <c:v>Álláskeresési ellátásban részesülők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 Mélyszegények-Romák'!$AP$4:$AP$10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Mélyszegények-Romák'!$AS$4:$AS$10</c:f>
              <c:numCache>
                <c:formatCode>0</c:formatCode>
                <c:ptCount val="7"/>
                <c:pt idx="0">
                  <c:v>20</c:v>
                </c:pt>
                <c:pt idx="1">
                  <c:v>10</c:v>
                </c:pt>
                <c:pt idx="2">
                  <c:v>23</c:v>
                </c:pt>
                <c:pt idx="3">
                  <c:v>24</c:v>
                </c:pt>
                <c:pt idx="4">
                  <c:v>18</c:v>
                </c:pt>
                <c:pt idx="5">
                  <c:v>31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4533-8840-71557CA4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580368"/>
        <c:axId val="824578192"/>
      </c:lineChart>
      <c:catAx>
        <c:axId val="82458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78192"/>
        <c:crosses val="autoZero"/>
        <c:auto val="1"/>
        <c:lblAlgn val="ctr"/>
        <c:lblOffset val="100"/>
        <c:noMultiLvlLbl val="0"/>
      </c:catAx>
      <c:valAx>
        <c:axId val="82457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Eü.</a:t>
            </a:r>
            <a:r>
              <a:rPr lang="hu-HU" sz="1200" b="1" baseline="0">
                <a:solidFill>
                  <a:schemeClr val="tx1"/>
                </a:solidFill>
              </a:rPr>
              <a:t> károsodási és gyf. támogatában részesülők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 Mélyszegények-Romák'!$BD$4:$BD$10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Mélyszegények-Romák'!$BE$4:$BE$10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2.65</c:v>
                </c:pt>
                <c:pt idx="3">
                  <c:v>2</c:v>
                </c:pt>
                <c:pt idx="4">
                  <c:v>1.25</c:v>
                </c:pt>
                <c:pt idx="5">
                  <c:v>2.68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E-467E-A99B-6BA1F636C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582000"/>
        <c:axId val="824578736"/>
      </c:lineChart>
      <c:catAx>
        <c:axId val="82458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78736"/>
        <c:crosses val="autoZero"/>
        <c:auto val="1"/>
        <c:lblAlgn val="ctr"/>
        <c:lblOffset val="100"/>
        <c:noMultiLvlLbl val="0"/>
      </c:catAx>
      <c:valAx>
        <c:axId val="82457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Lakásállomány és minősége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'3. Mélyszegények-Romák'!$BK$2</c:f>
              <c:strCache>
                <c:ptCount val="1"/>
                <c:pt idx="0">
                  <c:v>1-2 szobás lakások aránya
(TS 076)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Mélyszegények-Romák'!$BG$4:$BG$10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Mélyszegények-Romák'!$BK$4:$BK$10</c:f>
              <c:numCache>
                <c:formatCode>0.00%</c:formatCode>
                <c:ptCount val="7"/>
                <c:pt idx="0">
                  <c:v>0.192</c:v>
                </c:pt>
                <c:pt idx="1">
                  <c:v>0.18959999999999999</c:v>
                </c:pt>
                <c:pt idx="2">
                  <c:v>0.18759999999999999</c:v>
                </c:pt>
                <c:pt idx="3">
                  <c:v>0.18690000000000001</c:v>
                </c:pt>
                <c:pt idx="4">
                  <c:v>0.1845</c:v>
                </c:pt>
                <c:pt idx="5">
                  <c:v>0.18060000000000001</c:v>
                </c:pt>
                <c:pt idx="6">
                  <c:v>0.17899999999999999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7-4BD9-994C-DE65135FE143}"/>
            </c:ext>
          </c:extLst>
        </c:ser>
        <c:ser>
          <c:idx val="1"/>
          <c:order val="1"/>
          <c:tx>
            <c:strRef>
              <c:f>'3. Mélyszegények-Romák'!$BL$2</c:f>
              <c:strCache>
                <c:ptCount val="1"/>
                <c:pt idx="0">
                  <c:v>A közüzemi szennyvízgyűjtő-hálózatba 
 bekapcsolt lakások aránya (TS 074)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Mélyszegények-Romák'!$BG$4:$BG$10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Mélyszegények-Romák'!$BL$4:$BL$10</c:f>
              <c:numCache>
                <c:formatCode>0.00%</c:formatCode>
                <c:ptCount val="7"/>
                <c:pt idx="0">
                  <c:v>0.74050000000000005</c:v>
                </c:pt>
                <c:pt idx="1">
                  <c:v>0.82420000000000004</c:v>
                </c:pt>
                <c:pt idx="2">
                  <c:v>0.89900000000000002</c:v>
                </c:pt>
                <c:pt idx="3">
                  <c:v>0.90059999999999996</c:v>
                </c:pt>
                <c:pt idx="4">
                  <c:v>0.9083</c:v>
                </c:pt>
                <c:pt idx="5">
                  <c:v>0.98529999999999995</c:v>
                </c:pt>
                <c:pt idx="6">
                  <c:v>0.9899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7-4BD9-994C-DE65135FE143}"/>
            </c:ext>
          </c:extLst>
        </c:ser>
        <c:ser>
          <c:idx val="2"/>
          <c:order val="2"/>
          <c:tx>
            <c:strRef>
              <c:f>'3. Mélyszegények-Romák'!$BM$2</c:f>
              <c:strCache>
                <c:ptCount val="1"/>
                <c:pt idx="0">
                  <c:v>A közüzemi ivóvízvezeték-hálózatba 
 bekapcsolt lakások aránya (TS 075)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 Mélyszegények-Romák'!$BG$4:$BG$10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Mélyszegények-Romák'!$BM$4:$BM$10</c:f>
              <c:numCache>
                <c:formatCode>0.00%</c:formatCode>
                <c:ptCount val="7"/>
                <c:pt idx="0">
                  <c:v>0.93830000000000002</c:v>
                </c:pt>
                <c:pt idx="1">
                  <c:v>0.96120000000000005</c:v>
                </c:pt>
                <c:pt idx="2">
                  <c:v>0.9919</c:v>
                </c:pt>
                <c:pt idx="3">
                  <c:v>0.99209999999999998</c:v>
                </c:pt>
                <c:pt idx="4">
                  <c:v>0.99750000000000005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7-4BD9-994C-DE65135FE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4586896"/>
        <c:axId val="824582544"/>
      </c:barChart>
      <c:catAx>
        <c:axId val="82458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2544"/>
        <c:crosses val="autoZero"/>
        <c:auto val="1"/>
        <c:lblAlgn val="ctr"/>
        <c:lblOffset val="100"/>
        <c:noMultiLvlLbl val="0"/>
      </c:catAx>
      <c:valAx>
        <c:axId val="82458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458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Védelembe</a:t>
            </a:r>
            <a:r>
              <a:rPr lang="hu-HU" sz="1200" baseline="0"/>
              <a:t> vett és veszélyeztetett kiskorú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Védelembe vett kiskorú</c:v>
          </c:tx>
          <c:invertIfNegative val="0"/>
          <c:cat>
            <c:numRef>
              <c:f>'4. Gyermekek'!$I$4:$I$10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Gyermekek'!$J$4:$J$10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F-4880-9762-464751FCC9AF}"/>
            </c:ext>
          </c:extLst>
        </c:ser>
        <c:ser>
          <c:idx val="2"/>
          <c:order val="1"/>
          <c:tx>
            <c:v>Veszélyeztetett kiskorú</c:v>
          </c:tx>
          <c:invertIfNegative val="0"/>
          <c:cat>
            <c:numRef>
              <c:f>'4. Gyermekek'!$I$4:$I$10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Gyermekek'!$K$4:$K$10</c:f>
              <c:numCache>
                <c:formatCode>0</c:formatCode>
                <c:ptCount val="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F-4880-9762-464751FC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583632"/>
        <c:axId val="824588528"/>
      </c:barChart>
      <c:catAx>
        <c:axId val="8245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588528"/>
        <c:crosses val="autoZero"/>
        <c:auto val="1"/>
        <c:lblAlgn val="ctr"/>
        <c:lblOffset val="100"/>
        <c:noMultiLvlLbl val="0"/>
      </c:catAx>
      <c:valAx>
        <c:axId val="8245885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4583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Rendszeres gyermekvédelmi kedvezményben részesítettek</a:t>
            </a:r>
            <a:r>
              <a:rPr lang="hu-HU" sz="1200" baseline="0"/>
              <a:t> száma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Rendszeres gyermekvédelmi kedvezményezettek száma</c:v>
          </c:tx>
          <c:invertIfNegative val="0"/>
          <c:cat>
            <c:numRef>
              <c:f>'4. Gyermekek'!$M$4:$M$10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Gyermekek'!$N$4:$N$10</c:f>
              <c:numCache>
                <c:formatCode>0</c:formatCode>
                <c:ptCount val="7"/>
                <c:pt idx="0">
                  <c:v>58</c:v>
                </c:pt>
                <c:pt idx="1">
                  <c:v>48</c:v>
                </c:pt>
                <c:pt idx="2">
                  <c:v>29.5</c:v>
                </c:pt>
                <c:pt idx="3">
                  <c:v>30.5</c:v>
                </c:pt>
                <c:pt idx="4">
                  <c:v>23</c:v>
                </c:pt>
                <c:pt idx="5">
                  <c:v>11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1-4773-89E7-703CD236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589072"/>
        <c:axId val="824589616"/>
      </c:barChart>
      <c:catAx>
        <c:axId val="8245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589616"/>
        <c:crosses val="autoZero"/>
        <c:auto val="1"/>
        <c:lblAlgn val="ctr"/>
        <c:lblOffset val="100"/>
        <c:noMultiLvlLbl val="0"/>
      </c:catAx>
      <c:valAx>
        <c:axId val="824589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4589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Védőnői álláshelyek (db)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Védőnői álláshelyek</c:v>
          </c:tx>
          <c:invertIfNegative val="0"/>
          <c:cat>
            <c:numRef>
              <c:f>'4. Gyermekek'!$AC$4:$AC$11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Gyermekek'!$AD$4:$AD$11</c:f>
              <c:numCache>
                <c:formatCode>0</c:formatCode>
                <c:ptCount val="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8-4215-A359-12E043514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590160"/>
        <c:axId val="824590704"/>
      </c:barChart>
      <c:catAx>
        <c:axId val="8245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590704"/>
        <c:crosses val="autoZero"/>
        <c:auto val="1"/>
        <c:lblAlgn val="ctr"/>
        <c:lblOffset val="100"/>
        <c:noMultiLvlLbl val="0"/>
      </c:catAx>
      <c:valAx>
        <c:axId val="8245907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459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Egy védőnőre jutó gyermekek száma (fő)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16284496086568E-2"/>
          <c:y val="0.17349020655378758"/>
          <c:w val="0.8758908324933643"/>
          <c:h val="0.69260255343949406"/>
        </c:manualLayout>
      </c:layout>
      <c:barChart>
        <c:barDir val="col"/>
        <c:grouping val="clustered"/>
        <c:varyColors val="0"/>
        <c:ser>
          <c:idx val="0"/>
          <c:order val="0"/>
          <c:tx>
            <c:v>Védőnőre jutó gyerekek száma</c:v>
          </c:tx>
          <c:invertIfNegative val="0"/>
          <c:cat>
            <c:numRef>
              <c:f>'4. Gyermekek'!$AC$4:$AC$11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Gyermekek'!$AF$4:$AF$11</c:f>
              <c:numCache>
                <c:formatCode>0</c:formatCode>
                <c:ptCount val="8"/>
                <c:pt idx="0">
                  <c:v>42.666666666666664</c:v>
                </c:pt>
                <c:pt idx="1">
                  <c:v>111.5</c:v>
                </c:pt>
                <c:pt idx="2">
                  <c:v>98.25</c:v>
                </c:pt>
                <c:pt idx="3">
                  <c:v>90.75</c:v>
                </c:pt>
                <c:pt idx="4">
                  <c:v>84</c:v>
                </c:pt>
                <c:pt idx="5">
                  <c:v>79</c:v>
                </c:pt>
                <c:pt idx="6">
                  <c:v>96.75</c:v>
                </c:pt>
                <c:pt idx="7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C-45EF-BF94-54045A94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591248"/>
        <c:axId val="824592336"/>
      </c:barChart>
      <c:catAx>
        <c:axId val="8245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592336"/>
        <c:crosses val="autoZero"/>
        <c:auto val="1"/>
        <c:lblAlgn val="ctr"/>
        <c:lblOffset val="100"/>
        <c:noMultiLvlLbl val="0"/>
      </c:catAx>
      <c:valAx>
        <c:axId val="8245923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459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Általános iskolák adatai - gyógypedagógia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113601816299992E-2"/>
          <c:y val="0.13246307830361326"/>
          <c:w val="0.93588639818370001"/>
          <c:h val="0.58403084138589523"/>
        </c:manualLayout>
      </c:layout>
      <c:barChart>
        <c:barDir val="col"/>
        <c:grouping val="clustered"/>
        <c:varyColors val="0"/>
        <c:ser>
          <c:idx val="0"/>
          <c:order val="0"/>
          <c:tx>
            <c:v>Gyógypedagógiai osztályok száma</c:v>
          </c:tx>
          <c:invertIfNegative val="0"/>
          <c:cat>
            <c:strLit>
              <c:ptCount val="6"/>
              <c:pt idx="0">
                <c:v>2015/2016</c:v>
              </c:pt>
              <c:pt idx="1">
                <c:v>2016/2017</c:v>
              </c:pt>
              <c:pt idx="2">
                <c:v>2017/2018</c:v>
              </c:pt>
              <c:pt idx="3">
                <c:v>2018/2019</c:v>
              </c:pt>
              <c:pt idx="4">
                <c:v>2019/2020</c:v>
              </c:pt>
              <c:pt idx="5">
                <c:v>2020/2021</c:v>
              </c:pt>
            </c:strLit>
          </c:cat>
          <c:val>
            <c:numRef>
              <c:f>'4. Gyermekek'!$CO$4:$CO$9</c:f>
              <c:numCache>
                <c:formatCode>#,##0</c:formatCode>
                <c:ptCount val="6"/>
                <c:pt idx="0">
                  <c:v>313</c:v>
                </c:pt>
                <c:pt idx="1">
                  <c:v>344</c:v>
                </c:pt>
                <c:pt idx="2" formatCode="0">
                  <c:v>348</c:v>
                </c:pt>
                <c:pt idx="3" formatCode="0">
                  <c:v>337</c:v>
                </c:pt>
                <c:pt idx="4" formatCode="0">
                  <c:v>367</c:v>
                </c:pt>
                <c:pt idx="5" formatCode="0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9-49BC-BE12-D63E3D4CFEC7}"/>
            </c:ext>
          </c:extLst>
        </c:ser>
        <c:ser>
          <c:idx val="1"/>
          <c:order val="1"/>
          <c:tx>
            <c:v>Általános iskolai osztályok (gyógypedagógiaival együtt)</c:v>
          </c:tx>
          <c:invertIfNegative val="0"/>
          <c:cat>
            <c:strLit>
              <c:ptCount val="6"/>
              <c:pt idx="0">
                <c:v>2015/2016</c:v>
              </c:pt>
              <c:pt idx="1">
                <c:v>2016/2017</c:v>
              </c:pt>
              <c:pt idx="2">
                <c:v>2017/2018</c:v>
              </c:pt>
              <c:pt idx="3">
                <c:v>2018/2019</c:v>
              </c:pt>
              <c:pt idx="4">
                <c:v>2019/2020</c:v>
              </c:pt>
              <c:pt idx="5">
                <c:v>2020/2021</c:v>
              </c:pt>
            </c:strLit>
          </c:cat>
          <c:val>
            <c:numRef>
              <c:f>'4. Gyermekek'!$CP$4:$CP$9</c:f>
              <c:numCache>
                <c:formatCode>0</c:formatCode>
                <c:ptCount val="6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9-49BC-BE12-D63E3D4CFEC7}"/>
            </c:ext>
          </c:extLst>
        </c:ser>
        <c:ser>
          <c:idx val="2"/>
          <c:order val="2"/>
          <c:tx>
            <c:v>Feladatellátási helyek száma (gyógypedagógiai oktatással együtt)</c:v>
          </c:tx>
          <c:invertIfNegative val="0"/>
          <c:cat>
            <c:strLit>
              <c:ptCount val="6"/>
              <c:pt idx="0">
                <c:v>2015/2016</c:v>
              </c:pt>
              <c:pt idx="1">
                <c:v>2016/2017</c:v>
              </c:pt>
              <c:pt idx="2">
                <c:v>2017/2018</c:v>
              </c:pt>
              <c:pt idx="3">
                <c:v>2018/2019</c:v>
              </c:pt>
              <c:pt idx="4">
                <c:v>2019/2020</c:v>
              </c:pt>
              <c:pt idx="5">
                <c:v>2020/2021</c:v>
              </c:pt>
            </c:strLit>
          </c:cat>
          <c:val>
            <c:numRef>
              <c:f>'4. Gyermekek'!$CQ$4:$CQ$9</c:f>
              <c:numCache>
                <c:formatCode>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9-49BC-BE12-D63E3D4C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37072"/>
        <c:axId val="790947952"/>
      </c:barChart>
      <c:catAx>
        <c:axId val="79093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0947952"/>
        <c:crosses val="autoZero"/>
        <c:auto val="1"/>
        <c:lblAlgn val="ctr"/>
        <c:lblOffset val="100"/>
        <c:noMultiLvlLbl val="0"/>
      </c:catAx>
      <c:valAx>
        <c:axId val="790947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093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10675449951056"/>
          <c:y val="0.79489100296842286"/>
          <c:w val="0.80467816975448392"/>
          <c:h val="0.18416124600082145"/>
        </c:manualLayout>
      </c:layout>
      <c:overlay val="0"/>
      <c:txPr>
        <a:bodyPr/>
        <a:lstStyle/>
        <a:p>
          <a:pPr>
            <a:defRPr b="0"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Árvaellátásban részesülők száma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Gyermekek'!$Q$2</c:f>
              <c:strCache>
                <c:ptCount val="1"/>
                <c:pt idx="0">
                  <c:v>Árvaellátásban részesülő 
férfiak száma (fő)
(TS 065) </c:v>
                </c:pt>
              </c:strCache>
            </c:strRef>
          </c:tx>
          <c:invertIfNegative val="0"/>
          <c:cat>
            <c:numRef>
              <c:f>'4. Gyermekek'!$P$4:$P$10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Gyermekek'!$Q$4:$Q$10</c:f>
              <c:numCache>
                <c:formatCode>0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0-4528-AC1D-1B534EA3BDB4}"/>
            </c:ext>
          </c:extLst>
        </c:ser>
        <c:ser>
          <c:idx val="1"/>
          <c:order val="1"/>
          <c:tx>
            <c:strRef>
              <c:f>'4. Gyermekek'!$R$2</c:f>
              <c:strCache>
                <c:ptCount val="1"/>
                <c:pt idx="0">
                  <c:v>Árvaellátásban részesülő 
nők száma (fő)
(TS 066)</c:v>
                </c:pt>
              </c:strCache>
            </c:strRef>
          </c:tx>
          <c:invertIfNegative val="0"/>
          <c:cat>
            <c:numRef>
              <c:f>'4. Gyermekek'!$P$4:$P$10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Gyermekek'!$R$4:$R$10</c:f>
              <c:numCache>
                <c:formatCode>0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18</c:v>
                </c:pt>
                <c:pt idx="3">
                  <c:v>17</c:v>
                </c:pt>
                <c:pt idx="4">
                  <c:v>14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0-4528-AC1D-1B534EA3BDB4}"/>
            </c:ext>
          </c:extLst>
        </c:ser>
        <c:ser>
          <c:idx val="2"/>
          <c:order val="2"/>
          <c:tx>
            <c:strRef>
              <c:f>'4. Gyermekek'!$S$2</c:f>
              <c:strCache>
                <c:ptCount val="1"/>
                <c:pt idx="0">
                  <c:v>Árvaellátásban
 részesülők összesen</c:v>
                </c:pt>
              </c:strCache>
            </c:strRef>
          </c:tx>
          <c:invertIfNegative val="0"/>
          <c:cat>
            <c:numRef>
              <c:f>'4. Gyermekek'!$P$4:$P$10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Gyermekek'!$S$4:$S$10</c:f>
              <c:numCache>
                <c:formatCode>#,##0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30</c:v>
                </c:pt>
                <c:pt idx="3">
                  <c:v>26</c:v>
                </c:pt>
                <c:pt idx="4">
                  <c:v>23</c:v>
                </c:pt>
                <c:pt idx="5">
                  <c:v>34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0-4528-AC1D-1B534EA3B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34896"/>
        <c:axId val="790933264"/>
      </c:barChart>
      <c:catAx>
        <c:axId val="7909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933264"/>
        <c:crosses val="autoZero"/>
        <c:auto val="1"/>
        <c:lblAlgn val="ctr"/>
        <c:lblOffset val="100"/>
        <c:noMultiLvlLbl val="0"/>
      </c:catAx>
      <c:valAx>
        <c:axId val="7909332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90934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hu-HU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Kedvezményes óvodai -</a:t>
            </a:r>
            <a:r>
              <a:rPr lang="hu-HU" sz="1200" b="1" baseline="0">
                <a:solidFill>
                  <a:schemeClr val="tx1"/>
                </a:solidFill>
              </a:rPr>
              <a:t> iskolai juttatásban részesülők száma</a:t>
            </a:r>
            <a:endParaRPr lang="hu-H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Gyermekek'!$V$2</c:f>
              <c:strCache>
                <c:ptCount val="1"/>
                <c:pt idx="0">
                  <c:v> Ingyenes étkezésben résztvevők száma óvoda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Gyermekek'!$U$4:$U$9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Gyermekek'!$V$4:$V$9</c:f>
              <c:numCache>
                <c:formatCode>#,##0</c:formatCode>
                <c:ptCount val="6"/>
                <c:pt idx="0" formatCode="0">
                  <c:v>178</c:v>
                </c:pt>
                <c:pt idx="1">
                  <c:v>175</c:v>
                </c:pt>
                <c:pt idx="2">
                  <c:v>183</c:v>
                </c:pt>
                <c:pt idx="3">
                  <c:v>176</c:v>
                </c:pt>
                <c:pt idx="4">
                  <c:v>163</c:v>
                </c:pt>
                <c:pt idx="5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9-4EEC-97F2-65E80791E646}"/>
            </c:ext>
          </c:extLst>
        </c:ser>
        <c:ser>
          <c:idx val="1"/>
          <c:order val="1"/>
          <c:tx>
            <c:strRef>
              <c:f>'4. Gyermekek'!$W$2</c:f>
              <c:strCache>
                <c:ptCount val="1"/>
                <c:pt idx="0">
                  <c:v>Ingyenes étkezésben résztvevők száma iskola 1-8. évfolyam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Gyermekek'!$U$4:$U$9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Gyermekek'!$W$4:$W$9</c:f>
              <c:numCache>
                <c:formatCode>#,##0</c:formatCode>
                <c:ptCount val="6"/>
                <c:pt idx="0">
                  <c:v>14</c:v>
                </c:pt>
                <c:pt idx="1">
                  <c:v>17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9-4EEC-97F2-65E80791E646}"/>
            </c:ext>
          </c:extLst>
        </c:ser>
        <c:ser>
          <c:idx val="2"/>
          <c:order val="2"/>
          <c:tx>
            <c:strRef>
              <c:f>'4. Gyermekek'!$X$2</c:f>
              <c:strCache>
                <c:ptCount val="1"/>
                <c:pt idx="0">
                  <c:v>50 százalékos mértékű kedvezményes étkezésre jogosultak száma 1-13. évfolyam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 Gyermekek'!$U$4:$U$9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Gyermekek'!$X$4:$X$9</c:f>
              <c:numCache>
                <c:formatCode>#,##0</c:formatCode>
                <c:ptCount val="6"/>
                <c:pt idx="0">
                  <c:v>189</c:v>
                </c:pt>
                <c:pt idx="1">
                  <c:v>195</c:v>
                </c:pt>
                <c:pt idx="2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9-4EEC-97F2-65E80791E646}"/>
            </c:ext>
          </c:extLst>
        </c:ser>
        <c:ser>
          <c:idx val="3"/>
          <c:order val="3"/>
          <c:tx>
            <c:strRef>
              <c:f>'4. Gyermekek'!$Y$2</c:f>
              <c:strCache>
                <c:ptCount val="1"/>
                <c:pt idx="0">
                  <c:v> Ingyenes tankönyv-ellátásban részesülők száma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'4. Gyermekek'!$U$4:$U$9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Gyermekek'!$Y$4:$Y$9</c:f>
              <c:numCache>
                <c:formatCode>#,##0</c:formatCode>
                <c:ptCount val="6"/>
                <c:pt idx="0">
                  <c:v>413</c:v>
                </c:pt>
                <c:pt idx="1">
                  <c:v>466</c:v>
                </c:pt>
                <c:pt idx="2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D9-4EEC-97F2-65E80791E646}"/>
            </c:ext>
          </c:extLst>
        </c:ser>
        <c:ser>
          <c:idx val="4"/>
          <c:order val="4"/>
          <c:tx>
            <c:strRef>
              <c:f>'4. Gyermekek'!$Z$2</c:f>
              <c:strCache>
                <c:ptCount val="1"/>
                <c:pt idx="0">
                  <c:v>Óvodáztatási támogatásban részesülők száma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'4. Gyermekek'!$U$4:$U$9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Gyermekek'!$Z$4:$Z$9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D9-4EEC-97F2-65E80791E646}"/>
            </c:ext>
          </c:extLst>
        </c:ser>
        <c:ser>
          <c:idx val="5"/>
          <c:order val="5"/>
          <c:tx>
            <c:strRef>
              <c:f>'4. Gyermekek'!$AA$2</c:f>
              <c:strCache>
                <c:ptCount val="1"/>
                <c:pt idx="0">
                  <c:v>Nyári étkeztetésben részesülők száma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'4. Gyermekek'!$U$4:$U$9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Gyermekek'!$AA$4:$AA$9</c:f>
              <c:numCache>
                <c:formatCode>#,##0</c:formatCode>
                <c:ptCount val="6"/>
                <c:pt idx="0">
                  <c:v>0</c:v>
                </c:pt>
                <c:pt idx="1">
                  <c:v>129</c:v>
                </c:pt>
                <c:pt idx="2">
                  <c:v>118</c:v>
                </c:pt>
                <c:pt idx="3">
                  <c:v>97</c:v>
                </c:pt>
                <c:pt idx="4">
                  <c:v>92</c:v>
                </c:pt>
                <c:pt idx="5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D9-4EEC-97F2-65E80791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0933808"/>
        <c:axId val="790938160"/>
      </c:barChart>
      <c:catAx>
        <c:axId val="790933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38160"/>
        <c:crosses val="autoZero"/>
        <c:auto val="1"/>
        <c:lblAlgn val="ctr"/>
        <c:lblOffset val="100"/>
        <c:noMultiLvlLbl val="0"/>
      </c:catAx>
      <c:valAx>
        <c:axId val="79093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3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 b="1" i="0" baseline="0"/>
              <a:t>Állandó népesség - nők életkori megoszlása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634573117384717"/>
          <c:y val="0.22870946801197217"/>
          <c:w val="0.38374101232271718"/>
          <c:h val="0.72570819075048221"/>
        </c:manualLayout>
      </c:layout>
      <c:pieChart>
        <c:varyColors val="1"/>
        <c:ser>
          <c:idx val="0"/>
          <c:order val="0"/>
          <c:tx>
            <c:strRef>
              <c:f>'Település Bemutatása - Népesség'!$H$3</c:f>
              <c:strCache>
                <c:ptCount val="1"/>
                <c:pt idx="0">
                  <c:v>Nők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</c:spPr>
          <c:dPt>
            <c:idx val="1"/>
            <c:bubble3D val="0"/>
            <c:spPr>
              <a:solidFill>
                <a:srgbClr val="7030A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0C2-4C6E-9DDB-108B6D26D780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0C2-4C6E-9DDB-108B6D26D78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0C2-4C6E-9DDB-108B6D26D780}"/>
              </c:ext>
            </c:extLst>
          </c:dPt>
          <c:dLbls>
            <c:dLbl>
              <c:idx val="2"/>
              <c:layout>
                <c:manualLayout>
                  <c:x val="3.817859191165749E-2"/>
                  <c:y val="-0.146087309535800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2-4C6E-9DDB-108B6D26D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'0-14 évesek</c:v>
              </c:pt>
              <c:pt idx="1">
                <c:v>15-17 évesek</c:v>
              </c:pt>
              <c:pt idx="2">
                <c:v>18-59 évesek</c:v>
              </c:pt>
              <c:pt idx="3">
                <c:v>60-64 évesek</c:v>
              </c:pt>
              <c:pt idx="4">
                <c:v>65 év felettiek'</c:v>
              </c:pt>
            </c:strLit>
          </c:cat>
          <c:val>
            <c:numRef>
              <c:f>'Település Bemutatása - Népesség'!$H$6:$H$10</c:f>
              <c:numCache>
                <c:formatCode>General</c:formatCode>
                <c:ptCount val="5"/>
                <c:pt idx="0">
                  <c:v>919</c:v>
                </c:pt>
                <c:pt idx="1">
                  <c:v>139</c:v>
                </c:pt>
                <c:pt idx="2">
                  <c:v>2388</c:v>
                </c:pt>
                <c:pt idx="3">
                  <c:v>232</c:v>
                </c:pt>
                <c:pt idx="4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C2-4C6E-9DDB-108B6D26D7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401126688432239"/>
          <c:y val="0.27926336289354303"/>
          <c:w val="0.24251357669862644"/>
          <c:h val="0.50786559455852132"/>
        </c:manualLayout>
      </c:layout>
      <c:overlay val="0"/>
      <c:txPr>
        <a:bodyPr/>
        <a:lstStyle/>
        <a:p>
          <a:pPr rtl="0">
            <a:defRPr sz="1100"/>
          </a:pPr>
          <a:endParaRPr lang="hu-HU"/>
        </a:p>
      </c:txPr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Orvosi ellátások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'4. Gyermekek'!$AI$2</c:f>
              <c:strCache>
                <c:ptCount val="1"/>
                <c:pt idx="0">
                  <c:v>Felnőttek és gyermekek részére szervezett háziorvosi szolgálatok száma
(TS 107)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Gyermekek'!$AH$4:$AH$9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Gyermekek'!$AI$4:$AI$9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1-4628-B1E6-2525501F362A}"/>
            </c:ext>
          </c:extLst>
        </c:ser>
        <c:ser>
          <c:idx val="2"/>
          <c:order val="1"/>
          <c:tx>
            <c:strRef>
              <c:f>'4. Gyermekek'!$AJ$2</c:f>
              <c:strCache>
                <c:ptCount val="1"/>
                <c:pt idx="0">
                  <c:v>Csak felnőttek részére szervezett háziorvosi szolgáltatások száma
(TS 106)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 Gyermekek'!$AH$4:$AH$9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Gyermekek'!$AJ$4:$AJ$9</c:f>
              <c:numCache>
                <c:formatCode>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1-4628-B1E6-2525501F362A}"/>
            </c:ext>
          </c:extLst>
        </c:ser>
        <c:ser>
          <c:idx val="3"/>
          <c:order val="2"/>
          <c:tx>
            <c:strRef>
              <c:f>'4. Gyermekek'!$AK$2</c:f>
              <c:strCache>
                <c:ptCount val="1"/>
                <c:pt idx="0">
                  <c:v>A házi gyermekorvosok által ellátott szolgálatok száma
(TS 108)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'4. Gyermekek'!$AH$4:$AH$9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Gyermekek'!$AK$4:$AK$9</c:f>
              <c:numCache>
                <c:formatCode>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41-4628-B1E6-2525501F362A}"/>
            </c:ext>
          </c:extLst>
        </c:ser>
        <c:ser>
          <c:idx val="4"/>
          <c:order val="3"/>
          <c:tx>
            <c:strRef>
              <c:f>'4. Gyermekek'!$AL$2</c:f>
              <c:strCache>
                <c:ptCount val="1"/>
                <c:pt idx="0">
                  <c:v>Gyermekorvos által ellátott gyerekek száma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'4. Gyermekek'!$AH$4:$AH$9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Gyermekek'!$AL$4:$AL$9</c:f>
              <c:numCache>
                <c:formatCode>#,##0</c:formatCode>
                <c:ptCount val="6"/>
                <c:pt idx="0">
                  <c:v>10817</c:v>
                </c:pt>
                <c:pt idx="1">
                  <c:v>17858</c:v>
                </c:pt>
                <c:pt idx="2">
                  <c:v>16078</c:v>
                </c:pt>
                <c:pt idx="3">
                  <c:v>11195</c:v>
                </c:pt>
                <c:pt idx="4">
                  <c:v>11706</c:v>
                </c:pt>
                <c:pt idx="5">
                  <c:v>13930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41-4628-B1E6-2525501F362A}"/>
            </c:ext>
          </c:extLst>
        </c:ser>
        <c:ser>
          <c:idx val="5"/>
          <c:order val="4"/>
          <c:tx>
            <c:strRef>
              <c:f>'4. Gyermekek'!$AM$2</c:f>
              <c:strCache>
                <c:ptCount val="1"/>
                <c:pt idx="0">
                  <c:v>Felnőtt házi orvos által ellátott gyerekek száma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'4. Gyermekek'!$AH$4:$AH$9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Gyermekek'!$AM$4:$AM$9</c:f>
              <c:numCache>
                <c:formatCode>#,##0</c:formatCode>
                <c:ptCount val="6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41-4628-B1E6-2525501F3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35984"/>
        <c:axId val="790939248"/>
      </c:barChart>
      <c:catAx>
        <c:axId val="79093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39248"/>
        <c:crosses val="autoZero"/>
        <c:auto val="1"/>
        <c:lblAlgn val="ctr"/>
        <c:lblOffset val="100"/>
        <c:noMultiLvlLbl val="0"/>
      </c:catAx>
      <c:valAx>
        <c:axId val="790939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3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Bölcsődei férőhelyek kihasználtsága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4.9481281076361884E-2"/>
          <c:y val="0.1176000089792419"/>
          <c:w val="0.92781059375489172"/>
          <c:h val="0.6891202053253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Gyermekek'!$AZ$2</c:f>
              <c:strCache>
                <c:ptCount val="1"/>
                <c:pt idx="0">
                  <c:v>Működő (összes) bölcsődei férőhelyek száma (TS 124)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Gyermekek'!$AZ$4:$AZ$9</c:f>
              <c:numCache>
                <c:formatCode>0</c:formatCode>
                <c:ptCount val="6"/>
                <c:pt idx="0">
                  <c:v>41</c:v>
                </c:pt>
                <c:pt idx="1">
                  <c:v>48</c:v>
                </c:pt>
                <c:pt idx="2">
                  <c:v>46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3-4563-A655-9CF0A34D4951}"/>
            </c:ext>
          </c:extLst>
        </c:ser>
        <c:ser>
          <c:idx val="1"/>
          <c:order val="1"/>
          <c:tx>
            <c:strRef>
              <c:f>'4. Gyermekek'!$BA$2</c:f>
              <c:strCache>
                <c:ptCount val="1"/>
                <c:pt idx="0">
                  <c:v>Bölcsődébe (összes) beírt gyermekek száma
(TS 120)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Gyermekek'!$BA$4:$BA$9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36</c:v>
                </c:pt>
                <c:pt idx="4">
                  <c:v>38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3-4563-A655-9CF0A34D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937616"/>
        <c:axId val="790945232"/>
      </c:barChart>
      <c:catAx>
        <c:axId val="79093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5232"/>
        <c:crosses val="autoZero"/>
        <c:auto val="1"/>
        <c:lblAlgn val="ctr"/>
        <c:lblOffset val="100"/>
        <c:noMultiLvlLbl val="0"/>
      </c:catAx>
      <c:valAx>
        <c:axId val="79094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3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Hátrányos és halmozottan hátrányos helyzetű óvodás gyermekek 
aránya az óvodás gyermekeken belül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Gyermekek'!$BF$2</c:f>
              <c:strCache>
                <c:ptCount val="1"/>
                <c:pt idx="0">
                  <c:v>Hátrányos és halmozottan hátrányos helyzetű óvodás gyermekek 
aránya az óvodás gyermekeken belül (TS 093)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Gyermekek'!$BC$4:$BC$10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Gyermekek'!$BF$4:$BF$10</c:f>
              <c:numCache>
                <c:formatCode>0.00%</c:formatCode>
                <c:ptCount val="7"/>
                <c:pt idx="0">
                  <c:v>5.0000000000000001E-3</c:v>
                </c:pt>
                <c:pt idx="1">
                  <c:v>1.4200000000000001E-2</c:v>
                </c:pt>
                <c:pt idx="2">
                  <c:v>0</c:v>
                </c:pt>
                <c:pt idx="3">
                  <c:v>0</c:v>
                </c:pt>
                <c:pt idx="4">
                  <c:v>2.3E-3</c:v>
                </c:pt>
                <c:pt idx="5">
                  <c:v>2E-3</c:v>
                </c:pt>
                <c:pt idx="6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F-484F-A928-98EFE1B45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0940336"/>
        <c:axId val="790940880"/>
      </c:barChart>
      <c:catAx>
        <c:axId val="79094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0880"/>
        <c:crosses val="autoZero"/>
        <c:auto val="1"/>
        <c:lblAlgn val="ctr"/>
        <c:lblOffset val="100"/>
        <c:noMultiLvlLbl val="0"/>
      </c:catAx>
      <c:valAx>
        <c:axId val="7909408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Hátrányos és halmozottan hátrányos helyzetű  tanulók aránya az általános iskolai tanulókon belül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Gyermekek'!$BK$2</c:f>
              <c:strCache>
                <c:ptCount val="1"/>
                <c:pt idx="0">
                  <c:v>Hátrányos és halmozottan hátrányos helyzetű  tanulók aránya az általános iskolai tanulókon belül (TS 095)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'4. Gyermekek'!$BH$4:$BH$10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Gyermekek'!$BK$4:$BK$10</c:f>
              <c:numCache>
                <c:formatCode>0.00%</c:formatCode>
                <c:ptCount val="7"/>
                <c:pt idx="0">
                  <c:v>3.4700000000000002E-2</c:v>
                </c:pt>
                <c:pt idx="1">
                  <c:v>5.4000000000000003E-3</c:v>
                </c:pt>
                <c:pt idx="2">
                  <c:v>5.1000000000000004E-3</c:v>
                </c:pt>
                <c:pt idx="3">
                  <c:v>3.2000000000000002E-3</c:v>
                </c:pt>
                <c:pt idx="4">
                  <c:v>1.5E-3</c:v>
                </c:pt>
                <c:pt idx="5">
                  <c:v>5.8999999999999999E-3</c:v>
                </c:pt>
                <c:pt idx="6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8-4191-827A-9B9207114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0941424"/>
        <c:axId val="790941968"/>
      </c:barChart>
      <c:catAx>
        <c:axId val="79094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1968"/>
        <c:crosses val="autoZero"/>
        <c:auto val="1"/>
        <c:lblAlgn val="ctr"/>
        <c:lblOffset val="100"/>
        <c:noMultiLvlLbl val="0"/>
      </c:catAx>
      <c:valAx>
        <c:axId val="7909419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Hátrányos</a:t>
            </a:r>
            <a:r>
              <a:rPr lang="hu-HU" sz="1200" b="1" baseline="0">
                <a:solidFill>
                  <a:schemeClr val="tx1"/>
                </a:solidFill>
              </a:rPr>
              <a:t> és halmozottan hátrányos helyzet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Gyermekek'!$BV$2</c:f>
              <c:strCache>
                <c:ptCount val="1"/>
                <c:pt idx="0">
                  <c:v>Megállapított hátrányos helyzetű gyermekek és nagykorúvá vált gyermekek száma (TS 114)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Gyermekek'!$BU$4:$BU$10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Gyermekek'!$BV$4:$BV$10</c:f>
              <c:numCache>
                <c:formatCode>0</c:formatCode>
                <c:ptCount val="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0-4951-891B-4D0860F7B685}"/>
            </c:ext>
          </c:extLst>
        </c:ser>
        <c:ser>
          <c:idx val="1"/>
          <c:order val="1"/>
          <c:tx>
            <c:strRef>
              <c:f>'4. Gyermekek'!$BW$2</c:f>
              <c:strCache>
                <c:ptCount val="1"/>
                <c:pt idx="0">
                  <c:v>Megállapított halmozottan hátrányos helyzetű gyermekek és nagykorúvá vált gyermekek száma
(TS 113)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Gyermekek'!$BU$4:$BU$10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'4. Gyermekek'!$BW$4:$BW$10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0-4951-891B-4D0860F7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942512"/>
        <c:axId val="790943056"/>
      </c:barChart>
      <c:catAx>
        <c:axId val="79094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3056"/>
        <c:crosses val="autoZero"/>
        <c:auto val="1"/>
        <c:lblAlgn val="ctr"/>
        <c:lblOffset val="100"/>
        <c:noMultiLvlLbl val="0"/>
      </c:catAx>
      <c:valAx>
        <c:axId val="79094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Óvodai dolgozók - betöltött</a:t>
            </a:r>
            <a:r>
              <a:rPr lang="hu-HU" sz="1200" b="1" baseline="0">
                <a:solidFill>
                  <a:schemeClr val="tx1"/>
                </a:solidFill>
              </a:rPr>
              <a:t> állások és hiányzó létszám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Betöltött állás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 Gyermekek'!$BY$10:$BY$14</c:f>
              <c:strCache>
                <c:ptCount val="5"/>
                <c:pt idx="0">
                  <c:v>Óvodapedagógusok száma</c:v>
                </c:pt>
                <c:pt idx="1">
                  <c:v>Ebből diplomás óvodapedagógusok száma</c:v>
                </c:pt>
                <c:pt idx="2">
                  <c:v>Gyógypedagógusok létszáma</c:v>
                </c:pt>
                <c:pt idx="3">
                  <c:v>Dajka/gondozónő</c:v>
                </c:pt>
                <c:pt idx="4">
                  <c:v>Kisegítő személyzet</c:v>
                </c:pt>
              </c:strCache>
            </c:strRef>
          </c:cat>
          <c:val>
            <c:numRef>
              <c:f>'4. Gyermekek'!$BZ$10:$BZ$14</c:f>
              <c:numCache>
                <c:formatCode>#,##0</c:formatCode>
                <c:ptCount val="5"/>
                <c:pt idx="0">
                  <c:v>18</c:v>
                </c:pt>
                <c:pt idx="1">
                  <c:v>17</c:v>
                </c:pt>
                <c:pt idx="2">
                  <c:v>1</c:v>
                </c:pt>
                <c:pt idx="3">
                  <c:v>13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5-477A-B13A-B15F27D31959}"/>
            </c:ext>
          </c:extLst>
        </c:ser>
        <c:ser>
          <c:idx val="1"/>
          <c:order val="1"/>
          <c:tx>
            <c:strRef>
              <c:f>'4. Gyermekek'!$CA$9</c:f>
              <c:strCache>
                <c:ptCount val="1"/>
                <c:pt idx="0">
                  <c:v>Hiányzó létszám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'4. Gyermekek'!$BY$10:$BY$14</c:f>
              <c:strCache>
                <c:ptCount val="5"/>
                <c:pt idx="0">
                  <c:v>Óvodapedagógusok száma</c:v>
                </c:pt>
                <c:pt idx="1">
                  <c:v>Ebből diplomás óvodapedagógusok száma</c:v>
                </c:pt>
                <c:pt idx="2">
                  <c:v>Gyógypedagógusok létszáma</c:v>
                </c:pt>
                <c:pt idx="3">
                  <c:v>Dajka/gondozónő</c:v>
                </c:pt>
                <c:pt idx="4">
                  <c:v>Kisegítő személyzet</c:v>
                </c:pt>
              </c:strCache>
            </c:strRef>
          </c:cat>
          <c:val>
            <c:numRef>
              <c:f>'4. Gyermekek'!$CA$10:$CA$14</c:f>
              <c:numCache>
                <c:formatCode>#,##0</c:formatCode>
                <c:ptCount val="5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5-477A-B13A-B15F27D3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0943600"/>
        <c:axId val="790944144"/>
      </c:barChart>
      <c:catAx>
        <c:axId val="790943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4144"/>
        <c:crosses val="autoZero"/>
        <c:auto val="1"/>
        <c:lblAlgn val="ctr"/>
        <c:lblOffset val="100"/>
        <c:noMultiLvlLbl val="0"/>
      </c:catAx>
      <c:valAx>
        <c:axId val="79094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'4. Gyermekek'!$CK$2</c:f>
              <c:strCache>
                <c:ptCount val="1"/>
                <c:pt idx="0">
                  <c:v>Egy óvodai gyermekcsoportra
 jutó gyermekek száma (TS 089)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 Gyermekek'!$CC$4:$CC$9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Gyermekek'!$CK$4:$CK$9</c:f>
              <c:numCache>
                <c:formatCode>0</c:formatCode>
                <c:ptCount val="6"/>
                <c:pt idx="0">
                  <c:v>26.43</c:v>
                </c:pt>
                <c:pt idx="1">
                  <c:v>24.82</c:v>
                </c:pt>
                <c:pt idx="2">
                  <c:v>25.76</c:v>
                </c:pt>
                <c:pt idx="3">
                  <c:v>25.59</c:v>
                </c:pt>
                <c:pt idx="4">
                  <c:v>25.06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537-BE39-DE57A16F5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944688"/>
        <c:axId val="790945776"/>
      </c:lineChart>
      <c:catAx>
        <c:axId val="79094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5776"/>
        <c:crosses val="autoZero"/>
        <c:auto val="1"/>
        <c:lblAlgn val="ctr"/>
        <c:lblOffset val="100"/>
        <c:noMultiLvlLbl val="0"/>
      </c:catAx>
      <c:valAx>
        <c:axId val="7909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94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8. évfolyamot sikeresen elvégzett tanulók száma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'4. Gyermekek'!$CU$4:$CU$10</c:f>
              <c:strCache>
                <c:ptCount val="7"/>
                <c:pt idx="0">
                  <c:v>2014/2015</c:v>
                </c:pt>
                <c:pt idx="1">
                  <c:v>2015/2016</c:v>
                </c:pt>
                <c:pt idx="2">
                  <c:v>2016/2017</c:v>
                </c:pt>
                <c:pt idx="3">
                  <c:v>2017/2018</c:v>
                </c:pt>
                <c:pt idx="4">
                  <c:v>2018/2019</c:v>
                </c:pt>
                <c:pt idx="5">
                  <c:v>2019/2020</c:v>
                </c:pt>
                <c:pt idx="6">
                  <c:v>2020/2021</c:v>
                </c:pt>
              </c:strCache>
            </c:strRef>
          </c:cat>
          <c:val>
            <c:numRef>
              <c:f>'4. Gyermekek'!$CV$4:$CV$10</c:f>
              <c:numCache>
                <c:formatCode>0</c:formatCode>
                <c:ptCount val="7"/>
                <c:pt idx="0">
                  <c:v>33</c:v>
                </c:pt>
                <c:pt idx="1">
                  <c:v>43</c:v>
                </c:pt>
                <c:pt idx="2">
                  <c:v>41</c:v>
                </c:pt>
                <c:pt idx="3">
                  <c:v>38</c:v>
                </c:pt>
                <c:pt idx="4">
                  <c:v>48</c:v>
                </c:pt>
                <c:pt idx="5">
                  <c:v>58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6-4741-9B89-8039E3E2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548912"/>
        <c:axId val="559549456"/>
      </c:barChart>
      <c:catAx>
        <c:axId val="55954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49456"/>
        <c:crosses val="autoZero"/>
        <c:auto val="1"/>
        <c:lblAlgn val="ctr"/>
        <c:lblOffset val="100"/>
        <c:noMultiLvlLbl val="0"/>
      </c:catAx>
      <c:valAx>
        <c:axId val="5595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4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Gyermekjóléti, hátránykompenzáló</a:t>
            </a:r>
            <a:r>
              <a:rPr lang="hu-HU" sz="1200" b="1" baseline="0">
                <a:solidFill>
                  <a:schemeClr val="tx1"/>
                </a:solidFill>
              </a:rPr>
              <a:t> szolgáltatások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 Gyermekek'!$CZ$2</c:f>
              <c:strCache>
                <c:ptCount val="1"/>
                <c:pt idx="0">
                  <c:v>Biztos kezdet gyerekházat rendszeresen igénybe vevő gyermekek száma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Gyermekek'!$CY$4:$CY$9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Gyermekek'!$CZ$4:$CZ$9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D14-46F5-8BFB-1F20497365C8}"/>
            </c:ext>
          </c:extLst>
        </c:ser>
        <c:ser>
          <c:idx val="1"/>
          <c:order val="1"/>
          <c:tx>
            <c:strRef>
              <c:f>'4. Gyermekek'!$DA$2</c:f>
              <c:strCache>
                <c:ptCount val="1"/>
                <c:pt idx="0">
                  <c:v>Tanoda szolgáltatást rendszeresen igénybe vevő gyermekek száma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Gyermekek'!$CY$4:$CY$9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Gyermekek'!$DA$4:$DA$9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D14-46F5-8BFB-1F20497365C8}"/>
            </c:ext>
          </c:extLst>
        </c:ser>
        <c:ser>
          <c:idx val="2"/>
          <c:order val="2"/>
          <c:tx>
            <c:strRef>
              <c:f>'4. Gyermekek'!$DB$2</c:f>
              <c:strCache>
                <c:ptCount val="1"/>
                <c:pt idx="0">
                  <c:v>Család- és gyermekjóléti szolgáltatást igénybe vevő kiskorúak száma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 Gyermekek'!$CY$4:$CY$9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Gyermekek'!$DB$4:$DB$9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3D14-46F5-8BFB-1F20497365C8}"/>
            </c:ext>
          </c:extLst>
        </c:ser>
        <c:ser>
          <c:idx val="3"/>
          <c:order val="3"/>
          <c:tx>
            <c:strRef>
              <c:f>'4. Gyermekek'!$DC$2</c:f>
              <c:strCache>
                <c:ptCount val="1"/>
                <c:pt idx="0">
                  <c:v>Szünidei étkeztetésben részesülő gyermekek száma (TS 112)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'4. Gyermekek'!$CY$4:$CY$9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Gyermekek'!$DC$4:$DC$9</c:f>
              <c:numCache>
                <c:formatCode>0</c:formatCode>
                <c:ptCount val="6"/>
                <c:pt idx="0">
                  <c:v>0</c:v>
                </c:pt>
                <c:pt idx="1">
                  <c:v>137</c:v>
                </c:pt>
                <c:pt idx="2">
                  <c:v>115</c:v>
                </c:pt>
                <c:pt idx="3">
                  <c:v>100</c:v>
                </c:pt>
                <c:pt idx="4">
                  <c:v>95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14-46F5-8BFB-1F2049736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550000"/>
        <c:axId val="559552176"/>
      </c:barChart>
      <c:catAx>
        <c:axId val="55955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52176"/>
        <c:crosses val="autoZero"/>
        <c:auto val="1"/>
        <c:lblAlgn val="ctr"/>
        <c:lblOffset val="100"/>
        <c:noMultiLvlLbl val="0"/>
      </c:catAx>
      <c:valAx>
        <c:axId val="5595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5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Bölcsödei helyek és beírt gyermekek</a:t>
            </a:r>
            <a:r>
              <a:rPr lang="hu-HU" sz="1200" b="1" baseline="0">
                <a:solidFill>
                  <a:schemeClr val="tx1"/>
                </a:solidFill>
              </a:rPr>
              <a:t> száma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Müködő önkormányzati bölcsödei férőhelyek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Gyermekek'!$AP$4:$AP$11</c:f>
              <c:numCache>
                <c:formatCode>#,##0</c:formatCode>
                <c:ptCount val="8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F-4573-A5FA-1D449E95FBA5}"/>
            </c:ext>
          </c:extLst>
        </c:ser>
        <c:ser>
          <c:idx val="1"/>
          <c:order val="1"/>
          <c:tx>
            <c:v>Önkormányzati bölcsödébe beírtak száma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Gyermekek'!$AQ$4:$AQ$11</c:f>
              <c:numCache>
                <c:formatCode>#,##0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F-4573-A5FA-1D449E95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550544"/>
        <c:axId val="559541840"/>
      </c:barChart>
      <c:catAx>
        <c:axId val="55955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41840"/>
        <c:crosses val="autoZero"/>
        <c:auto val="1"/>
        <c:lblAlgn val="ctr"/>
        <c:lblOffset val="100"/>
        <c:noMultiLvlLbl val="0"/>
      </c:catAx>
      <c:valAx>
        <c:axId val="55954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5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Öregedési index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'Település Bemutatása - Népesség'!$Q$2</c:f>
              <c:strCache>
                <c:ptCount val="1"/>
                <c:pt idx="0">
                  <c:v>
Öregedési index
% 
(TS 030)</c:v>
                </c:pt>
              </c:strCache>
            </c:strRef>
          </c:tx>
          <c:invertIfNegative val="0"/>
          <c:cat>
            <c:numRef>
              <c:f>'Település Bemutatása - Népesség'!$N$3:$N$9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'Település Bemutatása - Népesség'!$Q$3:$Q$9</c:f>
              <c:numCache>
                <c:formatCode>0.00%</c:formatCode>
                <c:ptCount val="7"/>
                <c:pt idx="0">
                  <c:v>0.57799767171129224</c:v>
                </c:pt>
                <c:pt idx="1">
                  <c:v>0.58604917095483133</c:v>
                </c:pt>
                <c:pt idx="2">
                  <c:v>0.58565072302558396</c:v>
                </c:pt>
                <c:pt idx="3">
                  <c:v>0.61123110151187909</c:v>
                </c:pt>
                <c:pt idx="4">
                  <c:v>0.62835051546391751</c:v>
                </c:pt>
                <c:pt idx="5">
                  <c:v>0.66305469556243546</c:v>
                </c:pt>
                <c:pt idx="6">
                  <c:v>0.68330733229329177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1-4D22-A458-0D04F78A0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11840"/>
        <c:axId val="790108576"/>
      </c:barChart>
      <c:catAx>
        <c:axId val="7901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108576"/>
        <c:crosses val="autoZero"/>
        <c:auto val="1"/>
        <c:lblAlgn val="ctr"/>
        <c:lblOffset val="100"/>
        <c:noMultiLvlLbl val="0"/>
      </c:catAx>
      <c:valAx>
        <c:axId val="7901085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9011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Óvodai férőhelyek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'4. Gyermekek'!$CF$2:$CF$3</c:f>
              <c:strCache>
                <c:ptCount val="2"/>
                <c:pt idx="0">
                  <c:v>Óvodai férőhelyek száma (gyógypedagógiai neveléssel együtt)
(TS 090)</c:v>
                </c:pt>
                <c:pt idx="1">
                  <c:v>db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Gyermekek'!$CC$4:$CC$9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Gyermekek'!$CF$4:$CF$9</c:f>
              <c:numCache>
                <c:formatCode>0</c:formatCode>
                <c:ptCount val="6"/>
                <c:pt idx="0">
                  <c:v>388</c:v>
                </c:pt>
                <c:pt idx="1">
                  <c:v>465</c:v>
                </c:pt>
                <c:pt idx="2">
                  <c:v>465</c:v>
                </c:pt>
                <c:pt idx="3">
                  <c:v>465</c:v>
                </c:pt>
                <c:pt idx="4">
                  <c:v>465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2-4AE1-852D-8656BC3ACF9A}"/>
            </c:ext>
          </c:extLst>
        </c:ser>
        <c:ser>
          <c:idx val="2"/>
          <c:order val="1"/>
          <c:tx>
            <c:strRef>
              <c:f>'4. Gyermekek'!$CH$2:$CH$3</c:f>
              <c:strCache>
                <c:ptCount val="2"/>
                <c:pt idx="0">
                  <c:v>Óvodába beírt gyermekek száma (gyógypedagógiai neveléssel együtt)
(TS 087)</c:v>
                </c:pt>
                <c:pt idx="1">
                  <c:v>fő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 Gyermekek'!$CC$4:$CC$9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Gyermekek'!$CH$4:$CH$9</c:f>
              <c:numCache>
                <c:formatCode>0</c:formatCode>
                <c:ptCount val="6"/>
                <c:pt idx="0">
                  <c:v>370</c:v>
                </c:pt>
                <c:pt idx="1">
                  <c:v>422</c:v>
                </c:pt>
                <c:pt idx="2">
                  <c:v>438</c:v>
                </c:pt>
                <c:pt idx="3">
                  <c:v>435</c:v>
                </c:pt>
                <c:pt idx="4">
                  <c:v>426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2-4AE1-852D-8656BC3A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9544560"/>
        <c:axId val="559538576"/>
      </c:barChart>
      <c:catAx>
        <c:axId val="55954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38576"/>
        <c:crosses val="autoZero"/>
        <c:auto val="1"/>
        <c:lblAlgn val="ctr"/>
        <c:lblOffset val="100"/>
        <c:noMultiLvlLbl val="0"/>
      </c:catAx>
      <c:valAx>
        <c:axId val="55953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4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906567843418056E-2"/>
          <c:y val="0.80256382343112331"/>
          <c:w val="0.83122761438936166"/>
          <c:h val="0.17332200832413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Védőnői álláshelyek (db)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Védőnői álláshelyek</c:v>
          </c:tx>
          <c:invertIfNegative val="0"/>
          <c:cat>
            <c:numRef>
              <c:f>'5. Nők'!$O$4:$O$9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Gyermekek'!$AD$4:$AD$11</c:f>
              <c:numCache>
                <c:formatCode>0</c:formatCode>
                <c:ptCount val="8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9-48E4-AF41-11FE6BA5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545104"/>
        <c:axId val="559545648"/>
      </c:barChart>
      <c:catAx>
        <c:axId val="5595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545648"/>
        <c:crosses val="autoZero"/>
        <c:auto val="1"/>
        <c:lblAlgn val="ctr"/>
        <c:lblOffset val="100"/>
        <c:noMultiLvlLbl val="0"/>
      </c:catAx>
      <c:valAx>
        <c:axId val="5595456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5954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Egy védőnőre jutó gyermekek száma (fő)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916284496086568E-2"/>
          <c:y val="0.17349020655378758"/>
          <c:w val="0.8758908324933643"/>
          <c:h val="0.69260255343949406"/>
        </c:manualLayout>
      </c:layout>
      <c:barChart>
        <c:barDir val="col"/>
        <c:grouping val="clustered"/>
        <c:varyColors val="0"/>
        <c:ser>
          <c:idx val="0"/>
          <c:order val="0"/>
          <c:tx>
            <c:v>Védőnőre jutó gyerekek száma</c:v>
          </c:tx>
          <c:invertIfNegative val="0"/>
          <c:cat>
            <c:numRef>
              <c:f>'5. Nők'!$O$4:$O$9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'4. Gyermekek'!$AF$4:$AF$11</c:f>
              <c:numCache>
                <c:formatCode>0</c:formatCode>
                <c:ptCount val="8"/>
                <c:pt idx="0">
                  <c:v>42.666666666666664</c:v>
                </c:pt>
                <c:pt idx="1">
                  <c:v>111.5</c:v>
                </c:pt>
                <c:pt idx="2">
                  <c:v>98.25</c:v>
                </c:pt>
                <c:pt idx="3">
                  <c:v>90.75</c:v>
                </c:pt>
                <c:pt idx="4">
                  <c:v>84</c:v>
                </c:pt>
                <c:pt idx="5">
                  <c:v>79</c:v>
                </c:pt>
                <c:pt idx="6">
                  <c:v>96.75</c:v>
                </c:pt>
                <c:pt idx="7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B-4410-A4BF-8E1BDAA6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539120"/>
        <c:axId val="559546192"/>
      </c:barChart>
      <c:catAx>
        <c:axId val="5595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546192"/>
        <c:crosses val="autoZero"/>
        <c:auto val="1"/>
        <c:lblAlgn val="ctr"/>
        <c:lblOffset val="100"/>
        <c:noMultiLvlLbl val="0"/>
      </c:catAx>
      <c:valAx>
        <c:axId val="5595461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5953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Munkanélküliség nemek szerint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Mélyszegények-Romák'!$F$3</c:f>
              <c:strCache>
                <c:ptCount val="1"/>
                <c:pt idx="0">
                  <c:v>Férfiak aránya 
(TS 033)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Mélyszegények-Romák'!$E$4:$E$10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Mélyszegények-Romák'!$F$4:$F$10</c:f>
              <c:numCache>
                <c:formatCode>0.00%</c:formatCode>
                <c:ptCount val="7"/>
                <c:pt idx="0">
                  <c:v>8.9999999999999993E-3</c:v>
                </c:pt>
                <c:pt idx="1">
                  <c:v>6.7000000000000002E-3</c:v>
                </c:pt>
                <c:pt idx="2">
                  <c:v>9.5999999999999992E-3</c:v>
                </c:pt>
                <c:pt idx="3">
                  <c:v>6.0000000000000001E-3</c:v>
                </c:pt>
                <c:pt idx="4">
                  <c:v>6.7000000000000002E-3</c:v>
                </c:pt>
                <c:pt idx="5">
                  <c:v>1.0999999999999999E-2</c:v>
                </c:pt>
                <c:pt idx="6">
                  <c:v>7.7999999999999996E-3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3-4F15-9B52-A49BDD01E068}"/>
            </c:ext>
          </c:extLst>
        </c:ser>
        <c:ser>
          <c:idx val="1"/>
          <c:order val="1"/>
          <c:tx>
            <c:strRef>
              <c:f>'3. Mélyszegények-Romák'!$G$3</c:f>
              <c:strCache>
                <c:ptCount val="1"/>
                <c:pt idx="0">
                  <c:v>Nők aránya 
(TS 034)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Mélyszegények-Romák'!$E$4:$E$10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Mélyszegények-Romák'!$G$4:$G$10</c:f>
              <c:numCache>
                <c:formatCode>0.00%</c:formatCode>
                <c:ptCount val="7"/>
                <c:pt idx="0">
                  <c:v>1.1299999999999999E-2</c:v>
                </c:pt>
                <c:pt idx="1">
                  <c:v>8.9999999999999993E-3</c:v>
                </c:pt>
                <c:pt idx="2">
                  <c:v>1.21E-2</c:v>
                </c:pt>
                <c:pt idx="3">
                  <c:v>1.23E-2</c:v>
                </c:pt>
                <c:pt idx="4">
                  <c:v>8.9999999999999993E-3</c:v>
                </c:pt>
                <c:pt idx="5">
                  <c:v>1.23E-2</c:v>
                </c:pt>
                <c:pt idx="6">
                  <c:v>5.7999999999999996E-3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3-4F15-9B52-A49BDD01E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540208"/>
        <c:axId val="522798672"/>
      </c:barChart>
      <c:catAx>
        <c:axId val="5595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2798672"/>
        <c:crosses val="autoZero"/>
        <c:auto val="1"/>
        <c:lblAlgn val="ctr"/>
        <c:lblOffset val="100"/>
        <c:noMultiLvlLbl val="0"/>
      </c:catAx>
      <c:valAx>
        <c:axId val="52279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5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180 napnál</a:t>
            </a:r>
            <a:r>
              <a:rPr lang="hu-HU" sz="1200" b="1" baseline="0">
                <a:solidFill>
                  <a:schemeClr val="tx1"/>
                </a:solidFill>
              </a:rPr>
              <a:t> hosszab ideje álláskeresők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180 napnál régebb óta regisztrált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Mélyszegények-Romák'!$U$5:$U$11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Mélyszegények-Romák'!$V$5:$V$11</c:f>
              <c:numCache>
                <c:formatCode>0.00%</c:formatCode>
                <c:ptCount val="7"/>
                <c:pt idx="0">
                  <c:v>0.54720000000000002</c:v>
                </c:pt>
                <c:pt idx="1">
                  <c:v>0.58540000000000003</c:v>
                </c:pt>
                <c:pt idx="2">
                  <c:v>0.55169999999999997</c:v>
                </c:pt>
                <c:pt idx="3">
                  <c:v>0.54</c:v>
                </c:pt>
                <c:pt idx="4">
                  <c:v>0.39529999999999998</c:v>
                </c:pt>
                <c:pt idx="5">
                  <c:v>0.41539999999999999</c:v>
                </c:pt>
                <c:pt idx="6">
                  <c:v>0.5897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0-492A-97A0-C3AA2B16C446}"/>
            </c:ext>
          </c:extLst>
        </c:ser>
        <c:ser>
          <c:idx val="1"/>
          <c:order val="1"/>
          <c:tx>
            <c:v>Nők arénya a 180 napon túl regisztáltak között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Mélyszegények-Romák'!$U$5:$U$11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Mélyszegények-Romák'!$W$5:$W$11</c:f>
              <c:numCache>
                <c:formatCode>0.00%</c:formatCode>
                <c:ptCount val="7"/>
                <c:pt idx="0">
                  <c:v>0.62070000000000003</c:v>
                </c:pt>
                <c:pt idx="1">
                  <c:v>0.54169999999999996</c:v>
                </c:pt>
                <c:pt idx="2">
                  <c:v>0.59379999999999999</c:v>
                </c:pt>
                <c:pt idx="3">
                  <c:v>0.70369999999999999</c:v>
                </c:pt>
                <c:pt idx="4">
                  <c:v>0.52939999999999998</c:v>
                </c:pt>
                <c:pt idx="5">
                  <c:v>0.48149999999999998</c:v>
                </c:pt>
                <c:pt idx="6">
                  <c:v>0.43480000000000002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0-492A-97A0-C3AA2B16C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2792688"/>
        <c:axId val="522794320"/>
      </c:barChart>
      <c:catAx>
        <c:axId val="52279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2794320"/>
        <c:crosses val="autoZero"/>
        <c:auto val="1"/>
        <c:lblAlgn val="ctr"/>
        <c:lblOffset val="100"/>
        <c:noMultiLvlLbl val="0"/>
      </c:catAx>
      <c:valAx>
        <c:axId val="52279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279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Álláskeresők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Nyilvántartott álláskeresők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Mélyszegények-Romák'!$AL$4:$AL$10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Mélyszegények-Romák'!$AM$4:$AM$10</c:f>
              <c:numCache>
                <c:formatCode>0</c:formatCode>
                <c:ptCount val="7"/>
                <c:pt idx="0">
                  <c:v>53</c:v>
                </c:pt>
                <c:pt idx="1">
                  <c:v>41</c:v>
                </c:pt>
                <c:pt idx="2">
                  <c:v>58</c:v>
                </c:pt>
                <c:pt idx="3">
                  <c:v>50</c:v>
                </c:pt>
                <c:pt idx="4">
                  <c:v>43</c:v>
                </c:pt>
                <c:pt idx="5">
                  <c:v>65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7-454A-AC86-60AAD6A8C97A}"/>
            </c:ext>
          </c:extLst>
        </c:ser>
        <c:ser>
          <c:idx val="1"/>
          <c:order val="1"/>
          <c:tx>
            <c:v>Nyilvántartott pályakezdő álláskeresők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Mélyszegények-Romák'!$AL$4:$AL$10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Mélyszegények-Romák'!$AN$4:$AN$10</c:f>
              <c:numCache>
                <c:formatCode>0</c:formatCode>
                <c:ptCount val="7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7-454A-AC86-60AAD6A8C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2794864"/>
        <c:axId val="522795408"/>
      </c:barChart>
      <c:catAx>
        <c:axId val="522794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2795408"/>
        <c:crosses val="autoZero"/>
        <c:auto val="1"/>
        <c:lblAlgn val="ctr"/>
        <c:lblOffset val="100"/>
        <c:noMultiLvlLbl val="0"/>
      </c:catAx>
      <c:valAx>
        <c:axId val="52279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2279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Bölcsödei helyek és beírt gyermekek</a:t>
            </a:r>
            <a:r>
              <a:rPr lang="hu-HU" sz="1200" b="1" baseline="0">
                <a:solidFill>
                  <a:schemeClr val="tx1"/>
                </a:solidFill>
              </a:rPr>
              <a:t> száma</a:t>
            </a:r>
            <a:endParaRPr lang="hu-HU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Müködő önkormányzati bölcsödei férőhelyek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Gyermekek'!$AP$4:$AP$11</c:f>
              <c:numCache>
                <c:formatCode>#,##0</c:formatCode>
                <c:ptCount val="8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5-417C-B23A-0EED8CB6F113}"/>
            </c:ext>
          </c:extLst>
        </c:ser>
        <c:ser>
          <c:idx val="1"/>
          <c:order val="1"/>
          <c:tx>
            <c:v>Önkormányzati bölcsödébe beírtak száma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Gyermekek'!$AQ$4:$AQ$11</c:f>
              <c:numCache>
                <c:formatCode>#,##0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5-417C-B23A-0EED8CB6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94944"/>
        <c:axId val="820595488"/>
      </c:barChart>
      <c:catAx>
        <c:axId val="82059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595488"/>
        <c:crosses val="autoZero"/>
        <c:auto val="1"/>
        <c:lblAlgn val="ctr"/>
        <c:lblOffset val="100"/>
        <c:noMultiLvlLbl val="0"/>
      </c:catAx>
      <c:valAx>
        <c:axId val="82059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59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Bölcsődei férőhelyek kihasználtsága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4.9481281076361884E-2"/>
          <c:y val="0.1176000089792419"/>
          <c:w val="0.92781059375489172"/>
          <c:h val="0.68912020532533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Gyermekek'!$AZ$2</c:f>
              <c:strCache>
                <c:ptCount val="1"/>
                <c:pt idx="0">
                  <c:v>Működő (összes) bölcsődei férőhelyek száma (TS 124)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Gyermekek'!$AZ$4:$AZ$9</c:f>
              <c:numCache>
                <c:formatCode>0</c:formatCode>
                <c:ptCount val="6"/>
                <c:pt idx="0">
                  <c:v>41</c:v>
                </c:pt>
                <c:pt idx="1">
                  <c:v>48</c:v>
                </c:pt>
                <c:pt idx="2">
                  <c:v>46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D-4321-AD8C-15EBD07884BC}"/>
            </c:ext>
          </c:extLst>
        </c:ser>
        <c:ser>
          <c:idx val="1"/>
          <c:order val="1"/>
          <c:tx>
            <c:strRef>
              <c:f>'4. Gyermekek'!$BA$2</c:f>
              <c:strCache>
                <c:ptCount val="1"/>
                <c:pt idx="0">
                  <c:v>Bölcsődébe (összes) beírt gyermekek száma
(TS 120)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Gyermekek'!$AO$4:$AO$11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'4. Gyermekek'!$BA$4:$BA$9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36</c:v>
                </c:pt>
                <c:pt idx="4">
                  <c:v>38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D-4321-AD8C-15EBD0788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97120"/>
        <c:axId val="827858320"/>
      </c:barChart>
      <c:catAx>
        <c:axId val="82059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8320"/>
        <c:crosses val="autoZero"/>
        <c:auto val="1"/>
        <c:lblAlgn val="ctr"/>
        <c:lblOffset val="100"/>
        <c:noMultiLvlLbl val="0"/>
      </c:catAx>
      <c:valAx>
        <c:axId val="8278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59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Nyugdíjasok száma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Összes nyugdíjas</c:v>
          </c:tx>
          <c:invertIfNegative val="0"/>
          <c:cat>
            <c:numRef>
              <c:f>'6. Idősek'!$AE$3:$AE$9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Idősek'!$AH$3:$AH$9</c:f>
              <c:numCache>
                <c:formatCode>0</c:formatCode>
                <c:ptCount val="7"/>
                <c:pt idx="0">
                  <c:v>1378</c:v>
                </c:pt>
                <c:pt idx="1">
                  <c:v>1395</c:v>
                </c:pt>
                <c:pt idx="2">
                  <c:v>1405</c:v>
                </c:pt>
                <c:pt idx="3">
                  <c:v>1419</c:v>
                </c:pt>
                <c:pt idx="4">
                  <c:v>1460</c:v>
                </c:pt>
                <c:pt idx="5">
                  <c:v>1488</c:v>
                </c:pt>
                <c:pt idx="6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3-4554-A32C-3D46CB4E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63216"/>
        <c:axId val="827867024"/>
      </c:barChart>
      <c:catAx>
        <c:axId val="8278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7867024"/>
        <c:crosses val="autoZero"/>
        <c:auto val="1"/>
        <c:lblAlgn val="ctr"/>
        <c:lblOffset val="100"/>
        <c:noMultiLvlLbl val="0"/>
      </c:catAx>
      <c:valAx>
        <c:axId val="827867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786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Öregedési index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'Település Bemutatása - Népesség'!$Q$2</c:f>
              <c:strCache>
                <c:ptCount val="1"/>
                <c:pt idx="0">
                  <c:v>
Öregedési index
% 
(TS 030)</c:v>
                </c:pt>
              </c:strCache>
            </c:strRef>
          </c:tx>
          <c:invertIfNegative val="0"/>
          <c:cat>
            <c:numRef>
              <c:f>'6. Idősek'!$B$3:$B$9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'Település Bemutatása - Népesség'!$Q$3:$Q$9</c:f>
              <c:numCache>
                <c:formatCode>0.00%</c:formatCode>
                <c:ptCount val="7"/>
                <c:pt idx="0">
                  <c:v>0.57799767171129224</c:v>
                </c:pt>
                <c:pt idx="1">
                  <c:v>0.58604917095483133</c:v>
                </c:pt>
                <c:pt idx="2">
                  <c:v>0.58565072302558396</c:v>
                </c:pt>
                <c:pt idx="3">
                  <c:v>0.61123110151187909</c:v>
                </c:pt>
                <c:pt idx="4">
                  <c:v>0.62835051546391751</c:v>
                </c:pt>
                <c:pt idx="5">
                  <c:v>0.66305469556243546</c:v>
                </c:pt>
                <c:pt idx="6">
                  <c:v>0.68330733229329177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7-42AE-A6BA-A816EFB1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58864"/>
        <c:axId val="827863760"/>
      </c:barChart>
      <c:catAx>
        <c:axId val="82785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7863760"/>
        <c:crosses val="autoZero"/>
        <c:auto val="1"/>
        <c:lblAlgn val="ctr"/>
        <c:lblOffset val="100"/>
        <c:noMultiLvlLbl val="0"/>
      </c:catAx>
      <c:valAx>
        <c:axId val="8278637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82785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Állandó oda-, és elvándorlások különbségének 1000 állandó lakosra vetített száma (fő)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'Település Bemutatása - Népesség'!$T$2</c:f>
              <c:strCache>
                <c:ptCount val="1"/>
                <c:pt idx="0">
                  <c:v>Állandó oda-, és elvándorlások különbségének 1000 állandó lakosra vetített száma (fő)
(TS 031)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'Település Bemutatása - Népesség'!$S$3:$S$9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'Település Bemutatása - Népesség'!$T$3:$T$9</c:f>
              <c:numCache>
                <c:formatCode>#,##0.00</c:formatCode>
                <c:ptCount val="7"/>
                <c:pt idx="0">
                  <c:v>22.96</c:v>
                </c:pt>
                <c:pt idx="1">
                  <c:v>22.11</c:v>
                </c:pt>
                <c:pt idx="2">
                  <c:v>25.05</c:v>
                </c:pt>
                <c:pt idx="3">
                  <c:v>29.15</c:v>
                </c:pt>
                <c:pt idx="4">
                  <c:v>18.440000000000001</c:v>
                </c:pt>
                <c:pt idx="5">
                  <c:v>13.2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1-4DD0-9C2E-0BF126774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0110752"/>
        <c:axId val="790110208"/>
      </c:lineChart>
      <c:catAx>
        <c:axId val="79011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10208"/>
        <c:crosses val="autoZero"/>
        <c:auto val="1"/>
        <c:lblAlgn val="ctr"/>
        <c:lblOffset val="100"/>
        <c:noMultiLvlLbl val="0"/>
      </c:catAx>
      <c:valAx>
        <c:axId val="79011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1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ysClr val="windowText" lastClr="000000"/>
                </a:solidFill>
              </a:rPr>
              <a:t>Nyugdíjasok</a:t>
            </a:r>
            <a:r>
              <a:rPr lang="hu-HU" sz="1200" b="1" baseline="0">
                <a:solidFill>
                  <a:sysClr val="windowText" lastClr="000000"/>
                </a:solidFill>
              </a:rPr>
              <a:t> száma</a:t>
            </a:r>
            <a:endParaRPr lang="hu-HU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'6. Idősek'!$G$3:$G$9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Idősek'!$J$3:$J$9</c:f>
              <c:numCache>
                <c:formatCode>0</c:formatCode>
                <c:ptCount val="7"/>
                <c:pt idx="0">
                  <c:v>1378</c:v>
                </c:pt>
                <c:pt idx="1">
                  <c:v>1395</c:v>
                </c:pt>
                <c:pt idx="2">
                  <c:v>1405</c:v>
                </c:pt>
                <c:pt idx="3">
                  <c:v>1419</c:v>
                </c:pt>
                <c:pt idx="4">
                  <c:v>1460</c:v>
                </c:pt>
                <c:pt idx="5">
                  <c:v>1488</c:v>
                </c:pt>
                <c:pt idx="6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8-4246-B7AE-E76428902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857232"/>
        <c:axId val="827862672"/>
      </c:barChart>
      <c:catAx>
        <c:axId val="82785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2672"/>
        <c:crosses val="autoZero"/>
        <c:auto val="1"/>
        <c:lblAlgn val="ctr"/>
        <c:lblOffset val="100"/>
        <c:noMultiLvlLbl val="0"/>
      </c:catAx>
      <c:valAx>
        <c:axId val="82786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ysClr val="windowText" lastClr="000000"/>
                </a:solidFill>
              </a:rPr>
              <a:t>Életkoron alapuló ellátás nemek szerint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'6. Idősek'!$L$3:$L$9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Idősek'!$M$3:$M$9</c:f>
              <c:numCache>
                <c:formatCode>0</c:formatCode>
                <c:ptCount val="7"/>
                <c:pt idx="0">
                  <c:v>35</c:v>
                </c:pt>
                <c:pt idx="1">
                  <c:v>29</c:v>
                </c:pt>
                <c:pt idx="2">
                  <c:v>25</c:v>
                </c:pt>
                <c:pt idx="3">
                  <c:v>26</c:v>
                </c:pt>
                <c:pt idx="4">
                  <c:v>21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D-4254-B592-0BADD8A56FCF}"/>
            </c:ext>
          </c:extLst>
        </c:ser>
        <c:ser>
          <c:idx val="1"/>
          <c:order val="1"/>
          <c:tx>
            <c:v>Nők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'6. Idősek'!$L$3:$L$9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Idősek'!$N$3:$N$9</c:f>
              <c:numCache>
                <c:formatCode>0</c:formatCode>
                <c:ptCount val="7"/>
                <c:pt idx="0">
                  <c:v>26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D-4254-B592-0BADD8A56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861040"/>
        <c:axId val="827864848"/>
      </c:barChart>
      <c:catAx>
        <c:axId val="82786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4848"/>
        <c:crosses val="autoZero"/>
        <c:auto val="1"/>
        <c:lblAlgn val="ctr"/>
        <c:lblOffset val="100"/>
        <c:noMultiLvlLbl val="0"/>
      </c:catAx>
      <c:valAx>
        <c:axId val="82786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 i="0" baseline="0">
                <a:solidFill>
                  <a:sysClr val="windowText" lastClr="000000"/>
                </a:solidFill>
                <a:effectLst/>
              </a:rPr>
              <a:t>Öregségi nyugdíjban részesülők nemek szerint</a:t>
            </a:r>
            <a:endParaRPr lang="hu-HU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'6. Idősek'!$L$3:$L$9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Idősek'!$O$3:$O$9</c:f>
              <c:numCache>
                <c:formatCode>0</c:formatCode>
                <c:ptCount val="7"/>
                <c:pt idx="0">
                  <c:v>455</c:v>
                </c:pt>
                <c:pt idx="1">
                  <c:v>488</c:v>
                </c:pt>
                <c:pt idx="2">
                  <c:v>499</c:v>
                </c:pt>
                <c:pt idx="3">
                  <c:v>510</c:v>
                </c:pt>
                <c:pt idx="4">
                  <c:v>534</c:v>
                </c:pt>
                <c:pt idx="5">
                  <c:v>544</c:v>
                </c:pt>
                <c:pt idx="6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A-4010-9650-D105F61D568C}"/>
            </c:ext>
          </c:extLst>
        </c:ser>
        <c:ser>
          <c:idx val="1"/>
          <c:order val="1"/>
          <c:tx>
            <c:v>Nők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'6. Idősek'!$L$3:$L$9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Idősek'!$P$3:$P$9</c:f>
              <c:numCache>
                <c:formatCode>0</c:formatCode>
                <c:ptCount val="7"/>
                <c:pt idx="0">
                  <c:v>702</c:v>
                </c:pt>
                <c:pt idx="1">
                  <c:v>716</c:v>
                </c:pt>
                <c:pt idx="2">
                  <c:v>731</c:v>
                </c:pt>
                <c:pt idx="3">
                  <c:v>744</c:v>
                </c:pt>
                <c:pt idx="4">
                  <c:v>772</c:v>
                </c:pt>
                <c:pt idx="5">
                  <c:v>785</c:v>
                </c:pt>
                <c:pt idx="6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A-4010-9650-D105F61D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27852880"/>
        <c:axId val="827859952"/>
      </c:barChart>
      <c:catAx>
        <c:axId val="82785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9952"/>
        <c:crosses val="autoZero"/>
        <c:auto val="1"/>
        <c:lblAlgn val="ctr"/>
        <c:lblOffset val="100"/>
        <c:noMultiLvlLbl val="0"/>
      </c:catAx>
      <c:valAx>
        <c:axId val="82785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ysClr val="windowText" lastClr="000000"/>
                </a:solidFill>
              </a:rPr>
              <a:t>Özvegységi nyugdíjban</a:t>
            </a:r>
            <a:r>
              <a:rPr lang="hu-HU" sz="1200" b="1" baseline="0">
                <a:solidFill>
                  <a:sysClr val="windowText" lastClr="000000"/>
                </a:solidFill>
              </a:rPr>
              <a:t> részesülők nemek szerint</a:t>
            </a:r>
            <a:endParaRPr lang="hu-HU" sz="12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'6. Idősek'!$L$3:$L$9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Idősek'!$Q$3:$Q$9</c:f>
              <c:numCache>
                <c:formatCode>0</c:formatCode>
                <c:ptCount val="7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3-4518-B0BE-314774D03DDE}"/>
            </c:ext>
          </c:extLst>
        </c:ser>
        <c:ser>
          <c:idx val="1"/>
          <c:order val="1"/>
          <c:tx>
            <c:v>Nők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'6. Idősek'!$L$3:$L$9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Idősek'!$R$3:$R$9</c:f>
              <c:numCache>
                <c:formatCode>0</c:formatCode>
                <c:ptCount val="7"/>
                <c:pt idx="0">
                  <c:v>16</c:v>
                </c:pt>
                <c:pt idx="1">
                  <c:v>20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3-4518-B0BE-314774D0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27853968"/>
        <c:axId val="827864304"/>
      </c:barChart>
      <c:catAx>
        <c:axId val="8278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4304"/>
        <c:crosses val="autoZero"/>
        <c:auto val="1"/>
        <c:lblAlgn val="ctr"/>
        <c:lblOffset val="100"/>
        <c:noMultiLvlLbl val="0"/>
      </c:catAx>
      <c:valAx>
        <c:axId val="82786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Nyugdíjasok nemek szerinti megoszlása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Férfiak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'6. Idősek'!$G$3:$G$9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Idősek'!$H$3:$H$9</c:f>
              <c:numCache>
                <c:formatCode>0</c:formatCode>
                <c:ptCount val="7"/>
                <c:pt idx="0">
                  <c:v>570</c:v>
                </c:pt>
                <c:pt idx="1">
                  <c:v>591</c:v>
                </c:pt>
                <c:pt idx="2">
                  <c:v>591</c:v>
                </c:pt>
                <c:pt idx="3">
                  <c:v>597</c:v>
                </c:pt>
                <c:pt idx="4">
                  <c:v>616</c:v>
                </c:pt>
                <c:pt idx="5">
                  <c:v>626</c:v>
                </c:pt>
                <c:pt idx="6">
                  <c:v>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0-4B6B-8CC5-1331EB89EB85}"/>
            </c:ext>
          </c:extLst>
        </c:ser>
        <c:ser>
          <c:idx val="1"/>
          <c:order val="1"/>
          <c:tx>
            <c:v>Nők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'6. Idősek'!$G$3:$G$9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Idősek'!$I$3:$I$9</c:f>
              <c:numCache>
                <c:formatCode>0</c:formatCode>
                <c:ptCount val="7"/>
                <c:pt idx="0">
                  <c:v>808</c:v>
                </c:pt>
                <c:pt idx="1">
                  <c:v>804</c:v>
                </c:pt>
                <c:pt idx="2">
                  <c:v>814</c:v>
                </c:pt>
                <c:pt idx="3">
                  <c:v>822</c:v>
                </c:pt>
                <c:pt idx="4">
                  <c:v>844</c:v>
                </c:pt>
                <c:pt idx="5">
                  <c:v>862</c:v>
                </c:pt>
                <c:pt idx="6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0-4B6B-8CC5-1331EB89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7865392"/>
        <c:axId val="827856144"/>
      </c:barChart>
      <c:catAx>
        <c:axId val="8278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6144"/>
        <c:crosses val="autoZero"/>
        <c:auto val="1"/>
        <c:lblAlgn val="ctr"/>
        <c:lblOffset val="100"/>
        <c:noMultiLvlLbl val="0"/>
      </c:catAx>
      <c:valAx>
        <c:axId val="82785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Ellátások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Nappali ellátás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'6. Idősek'!$AK$4:$AK$10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Idősek'!$AM$4:$AM$10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7-49AA-950A-CEB19FEAC0B7}"/>
            </c:ext>
          </c:extLst>
        </c:ser>
        <c:ser>
          <c:idx val="1"/>
          <c:order val="1"/>
          <c:tx>
            <c:v>Házi segítségnyújtás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'6. Idősek'!$AK$4:$AK$10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Idősek'!$AN$4:$AN$10</c:f>
              <c:numCache>
                <c:formatCode>0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7-49AA-950A-CEB19FEAC0B7}"/>
            </c:ext>
          </c:extLst>
        </c:ser>
        <c:ser>
          <c:idx val="2"/>
          <c:order val="2"/>
          <c:tx>
            <c:v>Szociális étkeztetés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'6. Idősek'!$AK$4:$AK$10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'6. Idősek'!$AO$4:$AO$10</c:f>
              <c:numCache>
                <c:formatCode>0</c:formatCode>
                <c:ptCount val="7"/>
                <c:pt idx="0">
                  <c:v>19</c:v>
                </c:pt>
                <c:pt idx="1">
                  <c:v>9</c:v>
                </c:pt>
                <c:pt idx="2">
                  <c:v>11</c:v>
                </c:pt>
                <c:pt idx="3">
                  <c:v>8</c:v>
                </c:pt>
                <c:pt idx="4">
                  <c:v>6</c:v>
                </c:pt>
                <c:pt idx="5">
                  <c:v>13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7-49AA-950A-CEB19FEAC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7854512"/>
        <c:axId val="827860496"/>
        <c:axId val="0"/>
      </c:bar3DChart>
      <c:catAx>
        <c:axId val="82785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0496"/>
        <c:crosses val="autoZero"/>
        <c:auto val="1"/>
        <c:lblAlgn val="ctr"/>
        <c:lblOffset val="100"/>
        <c:noMultiLvlLbl val="0"/>
      </c:catAx>
      <c:valAx>
        <c:axId val="82786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5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Nappali ellátásban részesülők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Nappali ellátásban részesülők</c:v>
          </c:tx>
          <c:invertIfNegative val="0"/>
          <c:cat>
            <c:numRef>
              <c:f>'7.Fogyatékkal élők'!$G$3:$G$8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'7.Fogyatékkal élők'!$H$3:$H$8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4-40D7-8472-F0E3FA74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855056"/>
        <c:axId val="827862128"/>
      </c:barChart>
      <c:catAx>
        <c:axId val="8278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7862128"/>
        <c:crosses val="autoZero"/>
        <c:auto val="1"/>
        <c:lblAlgn val="ctr"/>
        <c:lblOffset val="100"/>
        <c:noMultiLvlLbl val="0"/>
      </c:catAx>
      <c:valAx>
        <c:axId val="8278621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27855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 </a:t>
            </a:r>
            <a:r>
              <a:rPr lang="hu-HU" sz="1200" b="1"/>
              <a:t>Megváltozott munkaképességű személyek járó ellátásaiban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részesülők száma nemenként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Férfiak</c:v>
          </c:tx>
          <c:spPr>
            <a:ln>
              <a:noFill/>
            </a:ln>
            <a:effectLst/>
          </c:spPr>
          <c:invertIfNegative val="0"/>
          <c:cat>
            <c:numRef>
              <c:f>'7.Fogyatékkal élők'!$B$3:$B$9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'7.Fogyatékkal élők'!$C$3:$C$9</c:f>
              <c:numCache>
                <c:formatCode>0</c:formatCode>
                <c:ptCount val="7"/>
                <c:pt idx="0">
                  <c:v>49</c:v>
                </c:pt>
                <c:pt idx="1">
                  <c:v>43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35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A-409F-99FF-1FC9A989917C}"/>
            </c:ext>
          </c:extLst>
        </c:ser>
        <c:ser>
          <c:idx val="1"/>
          <c:order val="1"/>
          <c:tx>
            <c:v>Nők</c:v>
          </c:tx>
          <c:invertIfNegative val="0"/>
          <c:cat>
            <c:numRef>
              <c:f>'7.Fogyatékkal élők'!$B$3:$B$9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'7.Fogyatékkal élők'!$D$3:$D$9</c:f>
              <c:numCache>
                <c:formatCode>0</c:formatCode>
                <c:ptCount val="7"/>
                <c:pt idx="0">
                  <c:v>40</c:v>
                </c:pt>
                <c:pt idx="1">
                  <c:v>36</c:v>
                </c:pt>
                <c:pt idx="2">
                  <c:v>37</c:v>
                </c:pt>
                <c:pt idx="3">
                  <c:v>36</c:v>
                </c:pt>
                <c:pt idx="4">
                  <c:v>35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A-409F-99FF-1FC9A9899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7865936"/>
        <c:axId val="827866480"/>
      </c:barChart>
      <c:catAx>
        <c:axId val="82786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6480"/>
        <c:crosses val="autoZero"/>
        <c:auto val="1"/>
        <c:lblAlgn val="ctr"/>
        <c:lblOffset val="100"/>
        <c:noMultiLvlLbl val="0"/>
      </c:catAx>
      <c:valAx>
        <c:axId val="82786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786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08228524658648"/>
          <c:y val="0.89973857423586179"/>
          <c:w val="0.22683476777357364"/>
          <c:h val="9.1635727952564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>
                <a:solidFill>
                  <a:schemeClr val="tx1"/>
                </a:solidFill>
              </a:rPr>
              <a:t>Az élve születések és halálozások különbözetének 1000 lakosra vetített száma (fő)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'Település Bemutatása - Népesség'!$W$2</c:f>
              <c:strCache>
                <c:ptCount val="1"/>
                <c:pt idx="0">
                  <c:v>Az élve születések és halálozások különbözetének 1000 lakosra vetített száma (fő)
(TS 032)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'Település Bemutatása - Népesség'!$V$3:$V$9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'Település Bemutatása - Népesség'!$W$3:$W$9</c:f>
              <c:numCache>
                <c:formatCode>#,##0.00</c:formatCode>
                <c:ptCount val="7"/>
                <c:pt idx="0">
                  <c:v>5.57</c:v>
                </c:pt>
                <c:pt idx="1">
                  <c:v>1.32</c:v>
                </c:pt>
                <c:pt idx="2">
                  <c:v>0.77</c:v>
                </c:pt>
                <c:pt idx="3">
                  <c:v>3.25</c:v>
                </c:pt>
                <c:pt idx="4">
                  <c:v>3.15</c:v>
                </c:pt>
                <c:pt idx="5">
                  <c:v>3.2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D-4690-A8E1-C9D7C466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114016"/>
        <c:axId val="790112384"/>
      </c:barChart>
      <c:catAx>
        <c:axId val="7901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12384"/>
        <c:crosses val="autoZero"/>
        <c:auto val="1"/>
        <c:lblAlgn val="ctr"/>
        <c:lblOffset val="100"/>
        <c:noMultiLvlLbl val="0"/>
      </c:catAx>
      <c:valAx>
        <c:axId val="7901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011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 b="1" i="0" baseline="0"/>
              <a:t>Álláskeresők száma (fő)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Álláskeresők száma</c:v>
          </c:tx>
          <c:invertIfNegative val="0"/>
          <c:cat>
            <c:numRef>
              <c:f>'3. Mélyszegények-Romák'!$L$2:$R$2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Mélyszegények-Romák'!$L$3:$R$3</c:f>
              <c:numCache>
                <c:formatCode>#,##0</c:formatCode>
                <c:ptCount val="7"/>
                <c:pt idx="0">
                  <c:v>53</c:v>
                </c:pt>
                <c:pt idx="1">
                  <c:v>41</c:v>
                </c:pt>
                <c:pt idx="2">
                  <c:v>58</c:v>
                </c:pt>
                <c:pt idx="3">
                  <c:v>50</c:v>
                </c:pt>
                <c:pt idx="4">
                  <c:v>43</c:v>
                </c:pt>
                <c:pt idx="5">
                  <c:v>65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0-4012-8135-F35C65905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05856"/>
        <c:axId val="790116192"/>
      </c:barChart>
      <c:catAx>
        <c:axId val="7901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116192"/>
        <c:crosses val="autoZero"/>
        <c:auto val="1"/>
        <c:lblAlgn val="ctr"/>
        <c:lblOffset val="100"/>
        <c:noMultiLvlLbl val="0"/>
      </c:catAx>
      <c:valAx>
        <c:axId val="790116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010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Bérlakások, szoc. bérlakások és egyéb ingatlanok </a:t>
            </a:r>
            <a:r>
              <a:rPr lang="hu-HU" sz="1200" b="1" i="0" u="none" strike="noStrike" baseline="0"/>
              <a:t>(db)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Bérlakás állomány</c:v>
          </c:tx>
          <c:invertIfNegative val="0"/>
          <c:cat>
            <c:numRef>
              <c:f>'3. Mélyszegények-Romák'!$BO$4:$BO$9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'3. Mélyszegények-Romák'!$BR$4:$BR$9</c:f>
              <c:numCache>
                <c:formatCode>#,##0</c:formatCode>
                <c:ptCount val="6"/>
                <c:pt idx="0">
                  <c:v>30</c:v>
                </c:pt>
                <c:pt idx="1">
                  <c:v>12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3DB-B5EA-9633B06D0084}"/>
            </c:ext>
          </c:extLst>
        </c:ser>
        <c:ser>
          <c:idx val="1"/>
          <c:order val="1"/>
          <c:tx>
            <c:v>Szociális lakásállomány</c:v>
          </c:tx>
          <c:invertIfNegative val="0"/>
          <c:cat>
            <c:numRef>
              <c:f>'3. Mélyszegények-Romák'!$BO$4:$BO$9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'3. Mélyszegények-Romák'!$BT$4:$BT$9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9437-43DB-B5EA-9633B06D0084}"/>
            </c:ext>
          </c:extLst>
        </c:ser>
        <c:ser>
          <c:idx val="2"/>
          <c:order val="2"/>
          <c:tx>
            <c:v>Egyéb lakáscélre nem használt ing.</c:v>
          </c:tx>
          <c:invertIfNegative val="0"/>
          <c:cat>
            <c:numRef>
              <c:f>'3. Mélyszegények-Romák'!$BO$4:$BO$9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'3. Mélyszegények-Romák'!$BV$4:$BV$9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9437-43DB-B5EA-9633B06D0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02048"/>
        <c:axId val="790116736"/>
      </c:barChart>
      <c:catAx>
        <c:axId val="7901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116736"/>
        <c:crosses val="autoZero"/>
        <c:auto val="1"/>
        <c:lblAlgn val="ctr"/>
        <c:lblOffset val="100"/>
        <c:noMultiLvlLbl val="0"/>
      </c:catAx>
      <c:valAx>
        <c:axId val="790116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0102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 sz="1200"/>
              <a:t>Regisztrált munkanélküliek száma iskolai végzettség szerint</a:t>
            </a:r>
            <a:r>
              <a:rPr lang="hu-HU" sz="1200" baseline="0"/>
              <a:t> (fő)</a:t>
            </a:r>
            <a:endParaRPr lang="hu-HU" sz="12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8 általánosnál alacsonyabb</c:v>
          </c:tx>
          <c:invertIfNegative val="0"/>
          <c:cat>
            <c:numRef>
              <c:f>'3. Mélyszegények-Romák'!$Y$5:$Y$11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Mélyszegények-Romák'!$AA$5:$AA$11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6-464F-9812-536A6A8BDF7D}"/>
            </c:ext>
          </c:extLst>
        </c:ser>
        <c:ser>
          <c:idx val="1"/>
          <c:order val="1"/>
          <c:tx>
            <c:v>8 általános</c:v>
          </c:tx>
          <c:invertIfNegative val="0"/>
          <c:cat>
            <c:numRef>
              <c:f>'3. Mélyszegények-Romák'!$Y$5:$Y$11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Mélyszegények-Romák'!$AC$5:$AC$11</c:f>
              <c:numCache>
                <c:formatCode>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6-464F-9812-536A6A8BDF7D}"/>
            </c:ext>
          </c:extLst>
        </c:ser>
        <c:ser>
          <c:idx val="2"/>
          <c:order val="2"/>
          <c:tx>
            <c:v>8 általánosnál magasabb</c:v>
          </c:tx>
          <c:invertIfNegative val="0"/>
          <c:cat>
            <c:numRef>
              <c:f>'3. Mélyszegények-Romák'!$Y$5:$Y$11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 Mélyszegények-Romák'!$AE$5:$AE$11</c:f>
              <c:numCache>
                <c:formatCode>#,##0</c:formatCode>
                <c:ptCount val="7"/>
                <c:pt idx="0">
                  <c:v>50</c:v>
                </c:pt>
                <c:pt idx="1">
                  <c:v>40</c:v>
                </c:pt>
                <c:pt idx="2">
                  <c:v>54</c:v>
                </c:pt>
                <c:pt idx="3">
                  <c:v>47</c:v>
                </c:pt>
                <c:pt idx="4">
                  <c:v>40</c:v>
                </c:pt>
                <c:pt idx="5">
                  <c:v>60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F6-464F-9812-536A6A8BD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0103136"/>
        <c:axId val="790101504"/>
      </c:barChart>
      <c:catAx>
        <c:axId val="7901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101504"/>
        <c:crosses val="autoZero"/>
        <c:auto val="1"/>
        <c:lblAlgn val="ctr"/>
        <c:lblOffset val="100"/>
        <c:noMultiLvlLbl val="0"/>
      </c:catAx>
      <c:valAx>
        <c:axId val="7901015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90103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6" Type="http://schemas.openxmlformats.org/officeDocument/2006/relationships/chart" Target="../charts/chart22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10" Type="http://schemas.openxmlformats.org/officeDocument/2006/relationships/chart" Target="../charts/chart32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128399</xdr:rowOff>
    </xdr:from>
    <xdr:to>
      <xdr:col>3</xdr:col>
      <xdr:colOff>403412</xdr:colOff>
      <xdr:row>27</xdr:row>
      <xdr:rowOff>65415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714376</xdr:colOff>
      <xdr:row>11</xdr:row>
      <xdr:rowOff>104776</xdr:rowOff>
    </xdr:from>
    <xdr:to>
      <xdr:col>9</xdr:col>
      <xdr:colOff>228601</xdr:colOff>
      <xdr:row>24</xdr:row>
      <xdr:rowOff>174078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714375</xdr:colOff>
      <xdr:row>25</xdr:row>
      <xdr:rowOff>84519</xdr:rowOff>
    </xdr:from>
    <xdr:to>
      <xdr:col>9</xdr:col>
      <xdr:colOff>228600</xdr:colOff>
      <xdr:row>39</xdr:row>
      <xdr:rowOff>28574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225572</xdr:colOff>
      <xdr:row>12</xdr:row>
      <xdr:rowOff>86821</xdr:rowOff>
    </xdr:from>
    <xdr:to>
      <xdr:col>17</xdr:col>
      <xdr:colOff>240424</xdr:colOff>
      <xdr:row>26</xdr:row>
      <xdr:rowOff>161925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867171</xdr:colOff>
      <xdr:row>12</xdr:row>
      <xdr:rowOff>53182</xdr:rowOff>
    </xdr:from>
    <xdr:to>
      <xdr:col>20</xdr:col>
      <xdr:colOff>375046</xdr:colOff>
      <xdr:row>27</xdr:row>
      <xdr:rowOff>57944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984250</xdr:colOff>
      <xdr:row>12</xdr:row>
      <xdr:rowOff>49213</xdr:rowOff>
    </xdr:from>
    <xdr:to>
      <xdr:col>24</xdr:col>
      <xdr:colOff>166687</xdr:colOff>
      <xdr:row>27</xdr:row>
      <xdr:rowOff>53975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1255358</xdr:colOff>
      <xdr:row>25</xdr:row>
      <xdr:rowOff>54663</xdr:rowOff>
    </xdr:from>
    <xdr:to>
      <xdr:col>16</xdr:col>
      <xdr:colOff>535215</xdr:colOff>
      <xdr:row>45</xdr:row>
      <xdr:rowOff>28015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67</xdr:col>
      <xdr:colOff>646580</xdr:colOff>
      <xdr:row>11</xdr:row>
      <xdr:rowOff>66675</xdr:rowOff>
    </xdr:from>
    <xdr:to>
      <xdr:col>72</xdr:col>
      <xdr:colOff>4483</xdr:colOff>
      <xdr:row>27</xdr:row>
      <xdr:rowOff>8965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624166</xdr:colOff>
      <xdr:row>13</xdr:row>
      <xdr:rowOff>102533</xdr:rowOff>
    </xdr:from>
    <xdr:to>
      <xdr:col>30</xdr:col>
      <xdr:colOff>1205193</xdr:colOff>
      <xdr:row>29</xdr:row>
      <xdr:rowOff>125394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1154206</xdr:colOff>
      <xdr:row>47</xdr:row>
      <xdr:rowOff>38099</xdr:rowOff>
    </xdr:from>
    <xdr:to>
      <xdr:col>16</xdr:col>
      <xdr:colOff>672354</xdr:colOff>
      <xdr:row>66</xdr:row>
      <xdr:rowOff>150159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302558</xdr:colOff>
      <xdr:row>12</xdr:row>
      <xdr:rowOff>58271</xdr:rowOff>
    </xdr:from>
    <xdr:to>
      <xdr:col>53</xdr:col>
      <xdr:colOff>13447</xdr:colOff>
      <xdr:row>31</xdr:row>
      <xdr:rowOff>67235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435381</xdr:colOff>
      <xdr:row>11</xdr:row>
      <xdr:rowOff>63485</xdr:rowOff>
    </xdr:from>
    <xdr:to>
      <xdr:col>77</xdr:col>
      <xdr:colOff>1201773</xdr:colOff>
      <xdr:row>27</xdr:row>
      <xdr:rowOff>44824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132228</xdr:colOff>
      <xdr:row>12</xdr:row>
      <xdr:rowOff>67234</xdr:rowOff>
    </xdr:from>
    <xdr:to>
      <xdr:col>84</xdr:col>
      <xdr:colOff>844921</xdr:colOff>
      <xdr:row>31</xdr:row>
      <xdr:rowOff>22412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86</xdr:col>
      <xdr:colOff>280145</xdr:colOff>
      <xdr:row>12</xdr:row>
      <xdr:rowOff>78442</xdr:rowOff>
    </xdr:from>
    <xdr:to>
      <xdr:col>89</xdr:col>
      <xdr:colOff>1288676</xdr:colOff>
      <xdr:row>26</xdr:row>
      <xdr:rowOff>40342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</xdr:row>
      <xdr:rowOff>113523</xdr:rowOff>
    </xdr:from>
    <xdr:to>
      <xdr:col>2</xdr:col>
      <xdr:colOff>1679511</xdr:colOff>
      <xdr:row>28</xdr:row>
      <xdr:rowOff>69978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206188</xdr:colOff>
      <xdr:row>13</xdr:row>
      <xdr:rowOff>134470</xdr:rowOff>
    </xdr:from>
    <xdr:to>
      <xdr:col>8</xdr:col>
      <xdr:colOff>439270</xdr:colOff>
      <xdr:row>29</xdr:row>
      <xdr:rowOff>8964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398929</xdr:colOff>
      <xdr:row>13</xdr:row>
      <xdr:rowOff>94129</xdr:rowOff>
    </xdr:from>
    <xdr:to>
      <xdr:col>23</xdr:col>
      <xdr:colOff>192740</xdr:colOff>
      <xdr:row>28</xdr:row>
      <xdr:rowOff>159124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183776</xdr:colOff>
      <xdr:row>13</xdr:row>
      <xdr:rowOff>87405</xdr:rowOff>
    </xdr:from>
    <xdr:to>
      <xdr:col>35</xdr:col>
      <xdr:colOff>676836</xdr:colOff>
      <xdr:row>28</xdr:row>
      <xdr:rowOff>141194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36</xdr:col>
      <xdr:colOff>930088</xdr:colOff>
      <xdr:row>13</xdr:row>
      <xdr:rowOff>53787</xdr:rowOff>
    </xdr:from>
    <xdr:to>
      <xdr:col>40</xdr:col>
      <xdr:colOff>257175</xdr:colOff>
      <xdr:row>28</xdr:row>
      <xdr:rowOff>107576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41</xdr:col>
      <xdr:colOff>703731</xdr:colOff>
      <xdr:row>14</xdr:row>
      <xdr:rowOff>4482</xdr:rowOff>
    </xdr:from>
    <xdr:to>
      <xdr:col>45</xdr:col>
      <xdr:colOff>643219</xdr:colOff>
      <xdr:row>29</xdr:row>
      <xdr:rowOff>58270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55</xdr:col>
      <xdr:colOff>396687</xdr:colOff>
      <xdr:row>12</xdr:row>
      <xdr:rowOff>67236</xdr:rowOff>
    </xdr:from>
    <xdr:to>
      <xdr:col>56</xdr:col>
      <xdr:colOff>1280272</xdr:colOff>
      <xdr:row>27</xdr:row>
      <xdr:rowOff>121025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58</xdr:col>
      <xdr:colOff>811306</xdr:colOff>
      <xdr:row>12</xdr:row>
      <xdr:rowOff>42581</xdr:rowOff>
    </xdr:from>
    <xdr:to>
      <xdr:col>64</xdr:col>
      <xdr:colOff>351865</xdr:colOff>
      <xdr:row>33</xdr:row>
      <xdr:rowOff>123264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19894</xdr:colOff>
      <xdr:row>13</xdr:row>
      <xdr:rowOff>98072</xdr:rowOff>
    </xdr:from>
    <xdr:to>
      <xdr:col>10</xdr:col>
      <xdr:colOff>2071068</xdr:colOff>
      <xdr:row>30</xdr:row>
      <xdr:rowOff>127281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9719</xdr:colOff>
      <xdr:row>13</xdr:row>
      <xdr:rowOff>126353</xdr:rowOff>
    </xdr:from>
    <xdr:to>
      <xdr:col>13</xdr:col>
      <xdr:colOff>2571554</xdr:colOff>
      <xdr:row>30</xdr:row>
      <xdr:rowOff>22417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92969</xdr:colOff>
      <xdr:row>15</xdr:row>
      <xdr:rowOff>73094</xdr:rowOff>
    </xdr:from>
    <xdr:to>
      <xdr:col>31</xdr:col>
      <xdr:colOff>1232717</xdr:colOff>
      <xdr:row>29</xdr:row>
      <xdr:rowOff>160384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159066</xdr:colOff>
      <xdr:row>30</xdr:row>
      <xdr:rowOff>136738</xdr:rowOff>
    </xdr:from>
    <xdr:to>
      <xdr:col>31</xdr:col>
      <xdr:colOff>1275580</xdr:colOff>
      <xdr:row>46</xdr:row>
      <xdr:rowOff>100171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91</xdr:col>
      <xdr:colOff>741651</xdr:colOff>
      <xdr:row>12</xdr:row>
      <xdr:rowOff>57150</xdr:rowOff>
    </xdr:from>
    <xdr:to>
      <xdr:col>96</xdr:col>
      <xdr:colOff>100498</xdr:colOff>
      <xdr:row>30</xdr:row>
      <xdr:rowOff>177722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304023</xdr:colOff>
      <xdr:row>13</xdr:row>
      <xdr:rowOff>113522</xdr:rowOff>
    </xdr:from>
    <xdr:to>
      <xdr:col>18</xdr:col>
      <xdr:colOff>1005063</xdr:colOff>
      <xdr:row>30</xdr:row>
      <xdr:rowOff>188033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383332</xdr:colOff>
      <xdr:row>13</xdr:row>
      <xdr:rowOff>68036</xdr:rowOff>
    </xdr:from>
    <xdr:to>
      <xdr:col>26</xdr:col>
      <xdr:colOff>1059413</xdr:colOff>
      <xdr:row>29</xdr:row>
      <xdr:rowOff>144340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242985</xdr:colOff>
      <xdr:row>13</xdr:row>
      <xdr:rowOff>58317</xdr:rowOff>
    </xdr:from>
    <xdr:to>
      <xdr:col>38</xdr:col>
      <xdr:colOff>758113</xdr:colOff>
      <xdr:row>33</xdr:row>
      <xdr:rowOff>184670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651197</xdr:colOff>
      <xdr:row>13</xdr:row>
      <xdr:rowOff>19439</xdr:rowOff>
    </xdr:from>
    <xdr:to>
      <xdr:col>52</xdr:col>
      <xdr:colOff>417934</xdr:colOff>
      <xdr:row>31</xdr:row>
      <xdr:rowOff>184668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54</xdr:col>
      <xdr:colOff>136072</xdr:colOff>
      <xdr:row>13</xdr:row>
      <xdr:rowOff>48598</xdr:rowOff>
    </xdr:from>
    <xdr:to>
      <xdr:col>57</xdr:col>
      <xdr:colOff>1584262</xdr:colOff>
      <xdr:row>29</xdr:row>
      <xdr:rowOff>174950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59</xdr:col>
      <xdr:colOff>58317</xdr:colOff>
      <xdr:row>13</xdr:row>
      <xdr:rowOff>68036</xdr:rowOff>
    </xdr:from>
    <xdr:to>
      <xdr:col>62</xdr:col>
      <xdr:colOff>1258855</xdr:colOff>
      <xdr:row>31</xdr:row>
      <xdr:rowOff>184668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72</xdr:col>
      <xdr:colOff>145790</xdr:colOff>
      <xdr:row>13</xdr:row>
      <xdr:rowOff>97194</xdr:rowOff>
    </xdr:from>
    <xdr:to>
      <xdr:col>74</xdr:col>
      <xdr:colOff>2128545</xdr:colOff>
      <xdr:row>29</xdr:row>
      <xdr:rowOff>19440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76</xdr:col>
      <xdr:colOff>32657</xdr:colOff>
      <xdr:row>17</xdr:row>
      <xdr:rowOff>116633</xdr:rowOff>
    </xdr:from>
    <xdr:to>
      <xdr:col>79</xdr:col>
      <xdr:colOff>106913</xdr:colOff>
      <xdr:row>32</xdr:row>
      <xdr:rowOff>51706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85</xdr:col>
      <xdr:colOff>84142</xdr:colOff>
      <xdr:row>11</xdr:row>
      <xdr:rowOff>128185</xdr:rowOff>
    </xdr:from>
    <xdr:to>
      <xdr:col>88</xdr:col>
      <xdr:colOff>928536</xdr:colOff>
      <xdr:row>28</xdr:row>
      <xdr:rowOff>39352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98</xdr:col>
      <xdr:colOff>106913</xdr:colOff>
      <xdr:row>14</xdr:row>
      <xdr:rowOff>0</xdr:rowOff>
    </xdr:from>
    <xdr:to>
      <xdr:col>99</xdr:col>
      <xdr:colOff>2546479</xdr:colOff>
      <xdr:row>27</xdr:row>
      <xdr:rowOff>89419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102</xdr:col>
      <xdr:colOff>252705</xdr:colOff>
      <xdr:row>12</xdr:row>
      <xdr:rowOff>9719</xdr:rowOff>
    </xdr:from>
    <xdr:to>
      <xdr:col>106</xdr:col>
      <xdr:colOff>1127449</xdr:colOff>
      <xdr:row>30</xdr:row>
      <xdr:rowOff>151621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40</xdr:col>
      <xdr:colOff>75811</xdr:colOff>
      <xdr:row>14</xdr:row>
      <xdr:rowOff>43544</xdr:rowOff>
    </xdr:from>
    <xdr:to>
      <xdr:col>42</xdr:col>
      <xdr:colOff>1765041</xdr:colOff>
      <xdr:row>28</xdr:row>
      <xdr:rowOff>181947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80</xdr:col>
      <xdr:colOff>435429</xdr:colOff>
      <xdr:row>11</xdr:row>
      <xdr:rowOff>144624</xdr:rowOff>
    </xdr:from>
    <xdr:to>
      <xdr:col>84</xdr:col>
      <xdr:colOff>964164</xdr:colOff>
      <xdr:row>28</xdr:row>
      <xdr:rowOff>132184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14</xdr:row>
      <xdr:rowOff>133350</xdr:rowOff>
    </xdr:from>
    <xdr:to>
      <xdr:col>17</xdr:col>
      <xdr:colOff>898357</xdr:colOff>
      <xdr:row>29</xdr:row>
      <xdr:rowOff>51289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84564</xdr:colOff>
      <xdr:row>30</xdr:row>
      <xdr:rowOff>97467</xdr:rowOff>
    </xdr:from>
    <xdr:to>
      <xdr:col>17</xdr:col>
      <xdr:colOff>893012</xdr:colOff>
      <xdr:row>46</xdr:row>
      <xdr:rowOff>95734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14</xdr:row>
      <xdr:rowOff>100965</xdr:rowOff>
    </xdr:from>
    <xdr:to>
      <xdr:col>5</xdr:col>
      <xdr:colOff>190500</xdr:colOff>
      <xdr:row>29</xdr:row>
      <xdr:rowOff>100965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407670</xdr:colOff>
      <xdr:row>14</xdr:row>
      <xdr:rowOff>91440</xdr:rowOff>
    </xdr:from>
    <xdr:to>
      <xdr:col>9</xdr:col>
      <xdr:colOff>278130</xdr:colOff>
      <xdr:row>28</xdr:row>
      <xdr:rowOff>76200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14</xdr:row>
      <xdr:rowOff>114300</xdr:rowOff>
    </xdr:from>
    <xdr:to>
      <xdr:col>13</xdr:col>
      <xdr:colOff>541020</xdr:colOff>
      <xdr:row>29</xdr:row>
      <xdr:rowOff>114300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137160</xdr:colOff>
      <xdr:row>14</xdr:row>
      <xdr:rowOff>30480</xdr:rowOff>
    </xdr:from>
    <xdr:to>
      <xdr:col>21</xdr:col>
      <xdr:colOff>1851660</xdr:colOff>
      <xdr:row>29</xdr:row>
      <xdr:rowOff>30480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152400</xdr:colOff>
      <xdr:row>11</xdr:row>
      <xdr:rowOff>129540</xdr:rowOff>
    </xdr:from>
    <xdr:to>
      <xdr:col>30</xdr:col>
      <xdr:colOff>905694</xdr:colOff>
      <xdr:row>30</xdr:row>
      <xdr:rowOff>179070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400050</xdr:colOff>
      <xdr:row>10</xdr:row>
      <xdr:rowOff>171450</xdr:rowOff>
    </xdr:from>
    <xdr:to>
      <xdr:col>33</xdr:col>
      <xdr:colOff>819150</xdr:colOff>
      <xdr:row>28</xdr:row>
      <xdr:rowOff>152400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5</xdr:col>
      <xdr:colOff>0</xdr:colOff>
      <xdr:row>26</xdr:row>
      <xdr:rowOff>24902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11</xdr:row>
      <xdr:rowOff>129540</xdr:rowOff>
    </xdr:from>
    <xdr:to>
      <xdr:col>9</xdr:col>
      <xdr:colOff>1089660</xdr:colOff>
      <xdr:row>26</xdr:row>
      <xdr:rowOff>129540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12</xdr:row>
      <xdr:rowOff>144780</xdr:rowOff>
    </xdr:from>
    <xdr:to>
      <xdr:col>14</xdr:col>
      <xdr:colOff>1196340</xdr:colOff>
      <xdr:row>27</xdr:row>
      <xdr:rowOff>144780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76200</xdr:colOff>
      <xdr:row>12</xdr:row>
      <xdr:rowOff>60960</xdr:rowOff>
    </xdr:from>
    <xdr:to>
      <xdr:col>18</xdr:col>
      <xdr:colOff>441960</xdr:colOff>
      <xdr:row>27</xdr:row>
      <xdr:rowOff>60960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1272540</xdr:colOff>
      <xdr:row>27</xdr:row>
      <xdr:rowOff>129540</xdr:rowOff>
    </xdr:from>
    <xdr:to>
      <xdr:col>14</xdr:col>
      <xdr:colOff>1089660</xdr:colOff>
      <xdr:row>42</xdr:row>
      <xdr:rowOff>129540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431321</xdr:colOff>
      <xdr:row>29</xdr:row>
      <xdr:rowOff>80513</xdr:rowOff>
    </xdr:from>
    <xdr:to>
      <xdr:col>9</xdr:col>
      <xdr:colOff>776377</xdr:colOff>
      <xdr:row>44</xdr:row>
      <xdr:rowOff>127959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129395</xdr:colOff>
      <xdr:row>13</xdr:row>
      <xdr:rowOff>37381</xdr:rowOff>
    </xdr:from>
    <xdr:to>
      <xdr:col>40</xdr:col>
      <xdr:colOff>546339</xdr:colOff>
      <xdr:row>28</xdr:row>
      <xdr:rowOff>84826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67733</xdr:colOff>
      <xdr:row>11</xdr:row>
      <xdr:rowOff>64557</xdr:rowOff>
    </xdr:from>
    <xdr:to>
      <xdr:col>7</xdr:col>
      <xdr:colOff>2266950</xdr:colOff>
      <xdr:row>27</xdr:row>
      <xdr:rowOff>95249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338498</xdr:colOff>
      <xdr:row>11</xdr:row>
      <xdr:rowOff>94327</xdr:rowOff>
    </xdr:from>
    <xdr:to>
      <xdr:col>4</xdr:col>
      <xdr:colOff>247650</xdr:colOff>
      <xdr:row>28</xdr:row>
      <xdr:rowOff>95250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workbookViewId="0">
      <selection activeCell="A5" sqref="A5:F5"/>
    </sheetView>
  </sheetViews>
  <sheetFormatPr defaultRowHeight="15" x14ac:dyDescent="0.25"/>
  <cols>
    <col min="1" max="1" width="39.42578125" customWidth="1"/>
  </cols>
  <sheetData>
    <row r="1" spans="1:13" ht="16.149999999999999" customHeight="1" x14ac:dyDescent="0.25">
      <c r="A1" s="92" t="s">
        <v>245</v>
      </c>
      <c r="B1" s="93">
        <v>2020</v>
      </c>
    </row>
    <row r="2" spans="1:13" x14ac:dyDescent="0.25">
      <c r="A2" s="92" t="s">
        <v>246</v>
      </c>
      <c r="B2" s="93" t="s">
        <v>74</v>
      </c>
    </row>
    <row r="3" spans="1:13" x14ac:dyDescent="0.25">
      <c r="A3" s="92" t="s">
        <v>247</v>
      </c>
      <c r="B3" s="93">
        <v>2011</v>
      </c>
    </row>
    <row r="5" spans="1:13" ht="70.150000000000006" customHeight="1" x14ac:dyDescent="0.35">
      <c r="A5" s="133" t="s">
        <v>241</v>
      </c>
      <c r="B5" s="133"/>
      <c r="C5" s="133"/>
      <c r="D5" s="133"/>
      <c r="E5" s="133"/>
      <c r="F5" s="133"/>
      <c r="G5" s="87"/>
    </row>
    <row r="7" spans="1:13" ht="16.149999999999999" customHeight="1" x14ac:dyDescent="0.3">
      <c r="A7" s="88" t="s">
        <v>242</v>
      </c>
    </row>
    <row r="9" spans="1:13" ht="15.75" x14ac:dyDescent="0.25">
      <c r="A9" s="89" t="s">
        <v>243</v>
      </c>
    </row>
    <row r="11" spans="1:13" x14ac:dyDescent="0.25">
      <c r="A11" s="62" t="s">
        <v>244</v>
      </c>
      <c r="B11" s="62">
        <v>2015</v>
      </c>
      <c r="C11" s="62">
        <v>2016</v>
      </c>
      <c r="D11" s="62">
        <v>2017</v>
      </c>
      <c r="E11" s="62">
        <v>2018</v>
      </c>
      <c r="F11" s="62">
        <v>2019</v>
      </c>
      <c r="G11" s="62">
        <v>2020</v>
      </c>
      <c r="H11" s="62">
        <v>2021</v>
      </c>
      <c r="I11" s="62"/>
      <c r="J11" s="62"/>
      <c r="K11" s="62"/>
      <c r="L11" s="62"/>
      <c r="M11" s="62"/>
    </row>
    <row r="12" spans="1:13" x14ac:dyDescent="0.25">
      <c r="A12" s="123" t="s">
        <v>252</v>
      </c>
      <c r="B12" s="91"/>
      <c r="C12" s="91"/>
      <c r="D12" s="91"/>
      <c r="E12" s="91"/>
      <c r="F12" s="91"/>
      <c r="G12" s="90"/>
      <c r="H12" s="91"/>
      <c r="I12" s="91"/>
      <c r="J12" s="91"/>
      <c r="K12" s="90"/>
      <c r="L12" s="90"/>
      <c r="M12" s="90"/>
    </row>
    <row r="13" spans="1:13" x14ac:dyDescent="0.25">
      <c r="A13" s="90"/>
      <c r="B13" s="91"/>
      <c r="C13" s="91"/>
      <c r="D13" s="91"/>
      <c r="E13" s="91"/>
      <c r="F13" s="91"/>
      <c r="G13" s="90"/>
      <c r="I13" s="91"/>
      <c r="J13" s="91"/>
      <c r="K13" s="90"/>
      <c r="L13" s="90"/>
      <c r="M13" s="90"/>
    </row>
    <row r="14" spans="1:13" x14ac:dyDescent="0.25">
      <c r="A14" s="90"/>
      <c r="B14" s="91"/>
      <c r="C14" s="91"/>
      <c r="D14" s="91"/>
      <c r="E14" s="91"/>
      <c r="F14" s="91"/>
      <c r="G14" s="90"/>
      <c r="H14" s="91"/>
      <c r="I14" s="91"/>
      <c r="J14" s="91"/>
      <c r="K14" s="90"/>
      <c r="L14" s="90"/>
      <c r="M14" s="90"/>
    </row>
    <row r="15" spans="1:13" x14ac:dyDescent="0.25">
      <c r="A15" s="90"/>
      <c r="B15" s="91"/>
      <c r="C15" s="91"/>
      <c r="D15" s="91"/>
      <c r="E15" s="91"/>
      <c r="F15" s="91"/>
      <c r="G15" s="90"/>
      <c r="H15" s="91"/>
      <c r="I15" s="91"/>
      <c r="J15" s="91"/>
      <c r="K15" s="90"/>
      <c r="L15" s="90"/>
      <c r="M15" s="90"/>
    </row>
    <row r="16" spans="1:13" x14ac:dyDescent="0.25">
      <c r="A16" s="90"/>
      <c r="B16" s="91"/>
      <c r="C16" s="91"/>
      <c r="D16" s="91"/>
      <c r="E16" s="91"/>
      <c r="F16" s="91"/>
      <c r="G16" s="90"/>
      <c r="H16" s="91"/>
      <c r="I16" s="91"/>
      <c r="J16" s="91"/>
      <c r="K16" s="90"/>
      <c r="L16" s="90"/>
      <c r="M16" s="90"/>
    </row>
    <row r="17" spans="1:13" x14ac:dyDescent="0.25">
      <c r="A17" s="90"/>
      <c r="B17" s="91"/>
      <c r="C17" s="91"/>
      <c r="D17" s="91"/>
      <c r="E17" s="91"/>
      <c r="F17" s="91"/>
      <c r="G17" s="90"/>
      <c r="H17" s="91"/>
      <c r="I17" s="91"/>
      <c r="J17" s="91"/>
      <c r="K17" s="90"/>
      <c r="L17" s="90"/>
      <c r="M17" s="90"/>
    </row>
    <row r="18" spans="1:13" x14ac:dyDescent="0.25">
      <c r="A18" s="90"/>
      <c r="B18" s="91"/>
      <c r="C18" s="91"/>
      <c r="D18" s="91"/>
      <c r="E18" s="91"/>
      <c r="F18" s="91"/>
      <c r="G18" s="90"/>
      <c r="H18" s="91"/>
      <c r="I18" s="91"/>
      <c r="J18" s="91"/>
      <c r="K18" s="90"/>
      <c r="L18" s="90"/>
      <c r="M18" s="90"/>
    </row>
    <row r="19" spans="1:13" x14ac:dyDescent="0.25">
      <c r="A19" s="90"/>
      <c r="B19" s="91"/>
      <c r="C19" s="91"/>
      <c r="D19" s="91"/>
      <c r="E19" s="91"/>
      <c r="F19" s="91"/>
      <c r="G19" s="90"/>
      <c r="H19" s="91"/>
      <c r="I19" s="91"/>
      <c r="J19" s="91"/>
      <c r="K19" s="90"/>
      <c r="L19" s="90"/>
      <c r="M19" s="90"/>
    </row>
    <row r="20" spans="1:13" x14ac:dyDescent="0.25">
      <c r="A20" s="90"/>
      <c r="B20" s="91"/>
      <c r="C20" s="91"/>
      <c r="D20" s="91"/>
      <c r="E20" s="91"/>
      <c r="F20" s="91"/>
      <c r="G20" s="90"/>
      <c r="H20" s="91"/>
      <c r="I20" s="91"/>
      <c r="J20" s="91"/>
      <c r="K20" s="90"/>
      <c r="L20" s="90"/>
      <c r="M20" s="90"/>
    </row>
    <row r="21" spans="1:13" x14ac:dyDescent="0.25">
      <c r="A21" s="90"/>
      <c r="B21" s="91"/>
      <c r="C21" s="91"/>
      <c r="D21" s="91"/>
      <c r="E21" s="91"/>
      <c r="F21" s="91"/>
      <c r="G21" s="90"/>
      <c r="H21" s="91"/>
      <c r="I21" s="91"/>
      <c r="J21" s="91"/>
      <c r="K21" s="90"/>
      <c r="L21" s="90"/>
      <c r="M21" s="90"/>
    </row>
    <row r="22" spans="1:13" x14ac:dyDescent="0.25">
      <c r="A22" s="90"/>
      <c r="B22" s="91"/>
      <c r="C22" s="91"/>
      <c r="D22" s="91"/>
      <c r="E22" s="91"/>
      <c r="F22" s="91"/>
      <c r="G22" s="90"/>
      <c r="H22" s="91"/>
      <c r="I22" s="91"/>
      <c r="J22" s="91"/>
      <c r="K22" s="90"/>
      <c r="L22" s="90"/>
      <c r="M22" s="90"/>
    </row>
    <row r="23" spans="1:13" x14ac:dyDescent="0.25">
      <c r="A23" s="90"/>
      <c r="B23" s="91"/>
      <c r="C23" s="91"/>
      <c r="D23" s="91"/>
      <c r="E23" s="91"/>
      <c r="F23" s="91"/>
      <c r="G23" s="90"/>
      <c r="H23" s="91"/>
      <c r="I23" s="91"/>
      <c r="J23" s="91"/>
      <c r="K23" s="90"/>
      <c r="L23" s="90"/>
      <c r="M23" s="90"/>
    </row>
    <row r="24" spans="1:13" x14ac:dyDescent="0.25">
      <c r="A24" s="90"/>
      <c r="B24" s="91"/>
      <c r="C24" s="91"/>
      <c r="D24" s="91"/>
      <c r="E24" s="91"/>
      <c r="F24" s="91"/>
      <c r="G24" s="90"/>
      <c r="H24" s="91"/>
      <c r="I24" s="91"/>
      <c r="J24" s="91"/>
      <c r="K24" s="90"/>
      <c r="L24" s="90"/>
      <c r="M24" s="90"/>
    </row>
    <row r="25" spans="1:13" x14ac:dyDescent="0.25">
      <c r="A25" s="90"/>
      <c r="B25" s="91"/>
      <c r="C25" s="91"/>
      <c r="D25" s="91"/>
      <c r="E25" s="91"/>
      <c r="F25" s="91"/>
      <c r="G25" s="90"/>
      <c r="H25" s="91"/>
      <c r="I25" s="91"/>
      <c r="J25" s="91"/>
      <c r="K25" s="90"/>
      <c r="L25" s="90"/>
      <c r="M25" s="90"/>
    </row>
    <row r="26" spans="1:13" x14ac:dyDescent="0.25">
      <c r="A26" s="90"/>
      <c r="B26" s="91"/>
      <c r="C26" s="91"/>
      <c r="D26" s="91"/>
      <c r="E26" s="91"/>
      <c r="F26" s="91"/>
      <c r="G26" s="90"/>
      <c r="H26" s="91"/>
      <c r="I26" s="91"/>
      <c r="J26" s="91"/>
      <c r="K26" s="90"/>
      <c r="L26" s="90"/>
      <c r="M26" s="90"/>
    </row>
    <row r="27" spans="1:13" x14ac:dyDescent="0.25">
      <c r="A27" s="90"/>
      <c r="B27" s="91"/>
      <c r="C27" s="91"/>
      <c r="D27" s="91"/>
      <c r="E27" s="91"/>
      <c r="F27" s="91"/>
      <c r="G27" s="90"/>
      <c r="H27" s="91"/>
      <c r="I27" s="91"/>
      <c r="J27" s="91"/>
      <c r="K27" s="90"/>
      <c r="L27" s="90"/>
      <c r="M27" s="90"/>
    </row>
    <row r="28" spans="1:13" x14ac:dyDescent="0.25">
      <c r="A28" s="90"/>
      <c r="B28" s="91"/>
      <c r="C28" s="91"/>
      <c r="D28" s="91"/>
      <c r="E28" s="91"/>
      <c r="F28" s="91"/>
      <c r="G28" s="90"/>
      <c r="H28" s="91"/>
      <c r="I28" s="91"/>
      <c r="J28" s="91"/>
      <c r="K28" s="90"/>
      <c r="L28" s="90"/>
      <c r="M28" s="90"/>
    </row>
    <row r="29" spans="1:13" x14ac:dyDescent="0.25">
      <c r="A29" s="90"/>
      <c r="B29" s="91"/>
      <c r="C29" s="91"/>
      <c r="D29" s="91"/>
      <c r="E29" s="91"/>
      <c r="F29" s="91"/>
      <c r="G29" s="90"/>
      <c r="H29" s="91"/>
      <c r="I29" s="91"/>
      <c r="J29" s="91"/>
      <c r="K29" s="90"/>
      <c r="L29" s="90"/>
      <c r="M29" s="90"/>
    </row>
    <row r="30" spans="1:13" x14ac:dyDescent="0.25">
      <c r="A30" s="90"/>
      <c r="B30" s="91"/>
      <c r="C30" s="91"/>
      <c r="D30" s="91"/>
      <c r="E30" s="91"/>
      <c r="F30" s="91"/>
      <c r="G30" s="90"/>
      <c r="H30" s="91"/>
      <c r="I30" s="91"/>
      <c r="J30" s="91"/>
      <c r="K30" s="90"/>
      <c r="L30" s="90"/>
      <c r="M30" s="90"/>
    </row>
    <row r="31" spans="1:13" x14ac:dyDescent="0.25">
      <c r="A31" s="90"/>
      <c r="B31" s="91"/>
      <c r="C31" s="91"/>
      <c r="D31" s="91"/>
      <c r="E31" s="91"/>
      <c r="F31" s="91"/>
      <c r="G31" s="90"/>
      <c r="H31" s="91"/>
      <c r="I31" s="91"/>
      <c r="J31" s="91"/>
      <c r="K31" s="90"/>
      <c r="L31" s="90"/>
      <c r="M31" s="90"/>
    </row>
    <row r="32" spans="1:13" x14ac:dyDescent="0.25">
      <c r="A32" s="90"/>
      <c r="B32" s="91"/>
      <c r="C32" s="91"/>
      <c r="D32" s="91"/>
      <c r="E32" s="91"/>
      <c r="F32" s="91"/>
      <c r="G32" s="90"/>
      <c r="H32" s="91"/>
      <c r="I32" s="91"/>
      <c r="J32" s="91"/>
      <c r="K32" s="90"/>
      <c r="L32" s="90"/>
      <c r="M32" s="90"/>
    </row>
    <row r="33" spans="1:13" x14ac:dyDescent="0.25">
      <c r="A33" s="90"/>
      <c r="B33" s="91"/>
      <c r="C33" s="91"/>
      <c r="D33" s="91"/>
      <c r="E33" s="91"/>
      <c r="F33" s="91"/>
      <c r="G33" s="90"/>
      <c r="H33" s="91"/>
      <c r="I33" s="91"/>
      <c r="J33" s="91"/>
      <c r="K33" s="90"/>
      <c r="L33" s="90"/>
      <c r="M33" s="90"/>
    </row>
    <row r="34" spans="1:13" x14ac:dyDescent="0.25">
      <c r="A34" s="90"/>
      <c r="B34" s="91"/>
      <c r="C34" s="91"/>
      <c r="D34" s="91"/>
      <c r="E34" s="91"/>
      <c r="F34" s="91"/>
      <c r="G34" s="90"/>
      <c r="H34" s="91"/>
      <c r="I34" s="91"/>
      <c r="J34" s="91"/>
      <c r="K34" s="90"/>
      <c r="L34" s="90"/>
      <c r="M34" s="90"/>
    </row>
    <row r="35" spans="1:13" x14ac:dyDescent="0.25">
      <c r="A35" s="90"/>
      <c r="B35" s="91"/>
      <c r="C35" s="91"/>
      <c r="D35" s="91"/>
      <c r="E35" s="91"/>
      <c r="F35" s="91"/>
      <c r="G35" s="90"/>
      <c r="H35" s="91"/>
      <c r="I35" s="91"/>
      <c r="J35" s="91"/>
      <c r="K35" s="90"/>
      <c r="L35" s="90"/>
      <c r="M35" s="90"/>
    </row>
    <row r="36" spans="1:13" x14ac:dyDescent="0.25">
      <c r="A36" s="90"/>
      <c r="B36" s="91"/>
      <c r="C36" s="91"/>
      <c r="D36" s="91"/>
      <c r="E36" s="91"/>
      <c r="F36" s="91"/>
      <c r="G36" s="90"/>
      <c r="H36" s="91"/>
      <c r="I36" s="91"/>
      <c r="J36" s="91"/>
      <c r="K36" s="90"/>
      <c r="L36" s="90"/>
      <c r="M36" s="90"/>
    </row>
    <row r="37" spans="1:13" x14ac:dyDescent="0.25">
      <c r="A37" s="90"/>
      <c r="B37" s="91"/>
      <c r="C37" s="91"/>
      <c r="D37" s="91"/>
      <c r="E37" s="91"/>
      <c r="F37" s="91"/>
      <c r="G37" s="90"/>
      <c r="H37" s="91"/>
      <c r="I37" s="91"/>
      <c r="J37" s="91"/>
      <c r="K37" s="90"/>
      <c r="L37" s="90"/>
      <c r="M37" s="90"/>
    </row>
    <row r="38" spans="1:13" x14ac:dyDescent="0.25">
      <c r="A38" s="90"/>
      <c r="B38" s="91"/>
      <c r="C38" s="91"/>
      <c r="D38" s="91"/>
      <c r="E38" s="91"/>
      <c r="F38" s="91"/>
      <c r="G38" s="90"/>
      <c r="H38" s="91"/>
      <c r="I38" s="91"/>
      <c r="J38" s="91"/>
      <c r="K38" s="90"/>
      <c r="L38" s="90"/>
      <c r="M38" s="90"/>
    </row>
    <row r="39" spans="1:13" x14ac:dyDescent="0.25">
      <c r="A39" s="90"/>
      <c r="B39" s="91"/>
      <c r="C39" s="91"/>
      <c r="D39" s="91"/>
      <c r="E39" s="91"/>
      <c r="F39" s="91"/>
      <c r="G39" s="90"/>
      <c r="H39" s="91"/>
      <c r="I39" s="91"/>
      <c r="J39" s="91"/>
      <c r="K39" s="90"/>
      <c r="L39" s="90"/>
      <c r="M39" s="90"/>
    </row>
    <row r="40" spans="1:13" x14ac:dyDescent="0.25">
      <c r="A40" s="90"/>
      <c r="B40" s="91"/>
      <c r="C40" s="91"/>
      <c r="D40" s="91"/>
      <c r="E40" s="91"/>
      <c r="F40" s="91"/>
      <c r="G40" s="90"/>
      <c r="H40" s="91"/>
      <c r="I40" s="91"/>
      <c r="J40" s="91"/>
      <c r="K40" s="90"/>
      <c r="L40" s="90"/>
      <c r="M40" s="90"/>
    </row>
    <row r="41" spans="1:13" x14ac:dyDescent="0.25">
      <c r="A41" s="90"/>
      <c r="B41" s="91"/>
      <c r="C41" s="91"/>
      <c r="D41" s="91"/>
      <c r="E41" s="91"/>
      <c r="F41" s="91"/>
      <c r="G41" s="90"/>
      <c r="H41" s="91"/>
      <c r="I41" s="91"/>
      <c r="J41" s="91"/>
      <c r="K41" s="90"/>
      <c r="L41" s="90"/>
      <c r="M41" s="90"/>
    </row>
    <row r="42" spans="1:13" x14ac:dyDescent="0.25">
      <c r="A42" s="90"/>
      <c r="B42" s="91"/>
      <c r="C42" s="91"/>
      <c r="D42" s="91"/>
      <c r="E42" s="91"/>
      <c r="F42" s="91"/>
      <c r="G42" s="90"/>
      <c r="H42" s="91"/>
      <c r="I42" s="91"/>
      <c r="J42" s="91"/>
      <c r="K42" s="90"/>
      <c r="L42" s="90"/>
      <c r="M42" s="90"/>
    </row>
    <row r="43" spans="1:13" x14ac:dyDescent="0.25">
      <c r="A43" s="90"/>
      <c r="B43" s="91"/>
      <c r="C43" s="91"/>
      <c r="D43" s="91"/>
      <c r="E43" s="91"/>
      <c r="F43" s="91"/>
      <c r="G43" s="90"/>
      <c r="H43" s="90"/>
      <c r="I43" s="90"/>
      <c r="J43" s="90"/>
      <c r="K43" s="90"/>
      <c r="L43" s="90"/>
      <c r="M43" s="90"/>
    </row>
    <row r="44" spans="1:13" x14ac:dyDescent="0.25">
      <c r="A44" s="90"/>
      <c r="B44" s="91"/>
      <c r="C44" s="91"/>
      <c r="D44" s="91"/>
      <c r="E44" s="91"/>
      <c r="F44" s="91"/>
      <c r="G44" s="90"/>
      <c r="H44" s="90"/>
      <c r="I44" s="90"/>
      <c r="J44" s="90"/>
      <c r="K44" s="90"/>
      <c r="L44" s="90"/>
      <c r="M44" s="90"/>
    </row>
    <row r="45" spans="1:13" x14ac:dyDescent="0.25">
      <c r="A45" s="90"/>
      <c r="B45" s="91"/>
      <c r="C45" s="91"/>
      <c r="D45" s="91"/>
      <c r="E45" s="91"/>
      <c r="F45" s="91"/>
      <c r="G45" s="90"/>
      <c r="H45" s="91"/>
      <c r="I45" s="91"/>
      <c r="J45" s="91"/>
      <c r="K45" s="90"/>
      <c r="L45" s="90"/>
      <c r="M45" s="90"/>
    </row>
    <row r="46" spans="1:13" x14ac:dyDescent="0.25">
      <c r="A46" s="90"/>
      <c r="B46" s="91"/>
      <c r="C46" s="91"/>
      <c r="D46" s="91"/>
      <c r="E46" s="91"/>
      <c r="F46" s="91"/>
      <c r="G46" s="90"/>
      <c r="H46" s="91"/>
      <c r="I46" s="91"/>
      <c r="J46" s="91"/>
      <c r="K46" s="90"/>
      <c r="L46" s="90"/>
      <c r="M46" s="90"/>
    </row>
    <row r="47" spans="1:13" x14ac:dyDescent="0.25">
      <c r="A47" s="90"/>
      <c r="B47" s="91"/>
      <c r="C47" s="91"/>
      <c r="D47" s="91"/>
      <c r="E47" s="91"/>
      <c r="F47" s="91"/>
      <c r="G47" s="90"/>
      <c r="H47" s="91"/>
      <c r="I47" s="91"/>
      <c r="J47" s="91"/>
      <c r="K47" s="90"/>
      <c r="L47" s="90"/>
      <c r="M47" s="90"/>
    </row>
    <row r="48" spans="1:13" x14ac:dyDescent="0.25">
      <c r="A48" s="90"/>
      <c r="B48" s="91"/>
      <c r="C48" s="91"/>
      <c r="D48" s="91"/>
      <c r="E48" s="91"/>
      <c r="F48" s="91"/>
      <c r="G48" s="90"/>
      <c r="H48" s="91"/>
      <c r="I48" s="91"/>
      <c r="J48" s="91"/>
      <c r="K48" s="90"/>
      <c r="L48" s="90"/>
      <c r="M48" s="90"/>
    </row>
    <row r="49" spans="1:13" x14ac:dyDescent="0.25">
      <c r="A49" s="90"/>
      <c r="B49" s="91"/>
      <c r="C49" s="91"/>
      <c r="D49" s="91"/>
      <c r="E49" s="91"/>
      <c r="F49" s="91"/>
      <c r="G49" s="90"/>
      <c r="H49" s="91"/>
      <c r="I49" s="91"/>
      <c r="J49" s="91"/>
      <c r="K49" s="90"/>
      <c r="L49" s="90"/>
      <c r="M49" s="90"/>
    </row>
    <row r="50" spans="1:13" x14ac:dyDescent="0.25">
      <c r="A50" s="90"/>
      <c r="B50" s="91"/>
      <c r="C50" s="91"/>
      <c r="D50" s="91"/>
      <c r="E50" s="91"/>
      <c r="F50" s="91"/>
      <c r="G50" s="90"/>
      <c r="H50" s="91"/>
      <c r="I50" s="91"/>
      <c r="J50" s="91"/>
      <c r="K50" s="90"/>
      <c r="L50" s="90"/>
      <c r="M50" s="90"/>
    </row>
    <row r="51" spans="1:13" x14ac:dyDescent="0.25">
      <c r="A51" s="90"/>
      <c r="B51" s="91"/>
      <c r="C51" s="91"/>
      <c r="D51" s="91"/>
      <c r="E51" s="91"/>
      <c r="F51" s="91"/>
      <c r="G51" s="90"/>
      <c r="H51" s="91"/>
      <c r="I51" s="91"/>
      <c r="J51" s="91"/>
      <c r="K51" s="91"/>
      <c r="L51" s="90"/>
      <c r="M51" s="90"/>
    </row>
    <row r="52" spans="1:13" x14ac:dyDescent="0.25">
      <c r="A52" s="90"/>
      <c r="B52" s="91"/>
      <c r="C52" s="91"/>
      <c r="D52" s="91"/>
      <c r="E52" s="91"/>
      <c r="F52" s="91"/>
      <c r="G52" s="90"/>
      <c r="H52" s="91"/>
      <c r="I52" s="91"/>
      <c r="J52" s="91"/>
      <c r="K52" s="91"/>
      <c r="L52" s="90"/>
      <c r="M52" s="90"/>
    </row>
    <row r="53" spans="1:13" x14ac:dyDescent="0.25">
      <c r="A53" s="90"/>
      <c r="B53" s="91"/>
      <c r="C53" s="91"/>
      <c r="D53" s="91"/>
      <c r="E53" s="91"/>
      <c r="F53" s="91"/>
      <c r="G53" s="90"/>
      <c r="H53" s="91"/>
      <c r="I53" s="91"/>
      <c r="J53" s="91"/>
      <c r="K53" s="90"/>
      <c r="L53" s="90"/>
      <c r="M53" s="90"/>
    </row>
    <row r="54" spans="1:13" x14ac:dyDescent="0.25">
      <c r="A54" s="90"/>
      <c r="B54" s="91"/>
      <c r="C54" s="91"/>
      <c r="D54" s="91"/>
      <c r="E54" s="91"/>
      <c r="F54" s="91"/>
      <c r="G54" s="90"/>
      <c r="H54" s="91"/>
      <c r="I54" s="91"/>
      <c r="J54" s="91"/>
      <c r="K54" s="90"/>
      <c r="L54" s="90"/>
      <c r="M54" s="90"/>
    </row>
    <row r="55" spans="1:13" x14ac:dyDescent="0.25">
      <c r="A55" s="90"/>
      <c r="B55" s="91"/>
      <c r="C55" s="91"/>
      <c r="D55" s="91"/>
      <c r="E55" s="91"/>
      <c r="F55" s="91"/>
      <c r="G55" s="90"/>
      <c r="H55" s="91"/>
      <c r="I55" s="91"/>
      <c r="J55" s="91"/>
      <c r="K55" s="90"/>
      <c r="L55" s="90"/>
      <c r="M55" s="90"/>
    </row>
    <row r="56" spans="1:13" x14ac:dyDescent="0.25">
      <c r="A56" s="90"/>
      <c r="B56" s="91"/>
      <c r="C56" s="91"/>
      <c r="D56" s="91"/>
      <c r="E56" s="91"/>
      <c r="F56" s="91"/>
      <c r="G56" s="90"/>
      <c r="H56" s="91"/>
      <c r="I56" s="91"/>
      <c r="J56" s="91"/>
      <c r="K56" s="90"/>
      <c r="L56" s="90"/>
      <c r="M56" s="90"/>
    </row>
    <row r="57" spans="1:13" x14ac:dyDescent="0.25">
      <c r="A57" s="90"/>
      <c r="B57" s="91"/>
      <c r="C57" s="91"/>
      <c r="D57" s="91"/>
      <c r="E57" s="91"/>
      <c r="F57" s="91"/>
      <c r="G57" s="90"/>
      <c r="H57" s="90"/>
      <c r="I57" s="90"/>
      <c r="J57" s="90"/>
      <c r="K57" s="90"/>
      <c r="L57" s="90"/>
      <c r="M57" s="90"/>
    </row>
    <row r="58" spans="1:13" x14ac:dyDescent="0.25">
      <c r="A58" s="90"/>
      <c r="B58" s="91"/>
      <c r="C58" s="91"/>
      <c r="D58" s="91"/>
      <c r="E58" s="91"/>
      <c r="F58" s="91"/>
      <c r="G58" s="90"/>
      <c r="H58" s="91"/>
      <c r="I58" s="91"/>
      <c r="J58" s="91"/>
      <c r="K58" s="91"/>
      <c r="L58" s="90"/>
      <c r="M58" s="90"/>
    </row>
    <row r="59" spans="1:13" x14ac:dyDescent="0.25">
      <c r="A59" s="90"/>
      <c r="B59" s="91"/>
      <c r="C59" s="91"/>
      <c r="D59" s="91"/>
      <c r="E59" s="91"/>
      <c r="F59" s="91"/>
      <c r="G59" s="90"/>
      <c r="H59" s="91"/>
      <c r="I59" s="91"/>
      <c r="J59" s="91"/>
      <c r="K59" s="91"/>
      <c r="L59" s="90"/>
      <c r="M59" s="90"/>
    </row>
    <row r="60" spans="1:13" x14ac:dyDescent="0.25">
      <c r="A60" s="90"/>
      <c r="B60" s="91"/>
      <c r="C60" s="91"/>
      <c r="D60" s="91"/>
      <c r="E60" s="91"/>
      <c r="F60" s="91"/>
      <c r="G60" s="90"/>
      <c r="H60" s="91"/>
      <c r="I60" s="91"/>
      <c r="J60" s="90"/>
      <c r="K60" s="91"/>
      <c r="L60" s="90"/>
      <c r="M60" s="90"/>
    </row>
    <row r="61" spans="1:13" x14ac:dyDescent="0.25">
      <c r="A61" s="90"/>
      <c r="B61" s="91"/>
      <c r="C61" s="91"/>
      <c r="D61" s="91"/>
      <c r="E61" s="91"/>
      <c r="F61" s="91"/>
      <c r="G61" s="90"/>
      <c r="H61" s="90"/>
      <c r="I61" s="91"/>
      <c r="J61" s="90"/>
      <c r="K61" s="91"/>
      <c r="L61" s="90"/>
      <c r="M61" s="90"/>
    </row>
    <row r="62" spans="1:13" x14ac:dyDescent="0.25">
      <c r="A62" s="90"/>
      <c r="B62" s="91"/>
      <c r="C62" s="91"/>
      <c r="D62" s="91"/>
      <c r="E62" s="91"/>
      <c r="F62" s="91"/>
      <c r="G62" s="90"/>
      <c r="H62" s="91"/>
      <c r="I62" s="91"/>
      <c r="J62" s="90"/>
      <c r="K62" s="90"/>
      <c r="L62" s="90"/>
      <c r="M62" s="90"/>
    </row>
    <row r="63" spans="1:13" x14ac:dyDescent="0.25">
      <c r="A63" s="90"/>
      <c r="B63" s="90"/>
      <c r="C63" s="90"/>
      <c r="D63" s="91"/>
      <c r="E63" s="91"/>
      <c r="F63" s="91"/>
      <c r="G63" s="90"/>
      <c r="H63" s="90"/>
      <c r="I63" s="91"/>
      <c r="J63" s="91"/>
      <c r="K63" s="90"/>
      <c r="L63" s="90"/>
      <c r="M63" s="90"/>
    </row>
    <row r="64" spans="1:13" x14ac:dyDescent="0.25">
      <c r="A64" s="90"/>
      <c r="B64" s="91"/>
      <c r="C64" s="91"/>
      <c r="D64" s="91"/>
      <c r="E64" s="91"/>
      <c r="F64" s="91"/>
      <c r="G64" s="91"/>
      <c r="H64" s="91"/>
      <c r="I64" s="90"/>
      <c r="J64" s="91"/>
      <c r="K64" s="91"/>
      <c r="L64" s="90"/>
      <c r="M64" s="90"/>
    </row>
    <row r="65" spans="1:13" x14ac:dyDescent="0.25">
      <c r="A65" s="90"/>
      <c r="B65" s="90"/>
      <c r="C65" s="90"/>
      <c r="D65" s="91"/>
      <c r="E65" s="91"/>
      <c r="F65" s="91"/>
      <c r="G65" s="90"/>
      <c r="H65" s="91"/>
      <c r="I65" s="91"/>
      <c r="J65" s="91"/>
      <c r="K65" s="91"/>
      <c r="L65" s="90"/>
      <c r="M65" s="90"/>
    </row>
    <row r="66" spans="1:13" x14ac:dyDescent="0.25">
      <c r="A66" s="90"/>
      <c r="B66" s="91"/>
      <c r="C66" s="91"/>
      <c r="D66" s="91"/>
      <c r="E66" s="91"/>
      <c r="F66" s="91"/>
      <c r="G66" s="90"/>
      <c r="H66" s="90"/>
      <c r="I66" s="91"/>
      <c r="J66" s="91"/>
      <c r="K66" s="91"/>
      <c r="L66" s="90"/>
      <c r="M66" s="90"/>
    </row>
    <row r="67" spans="1:13" x14ac:dyDescent="0.25">
      <c r="A67" s="90"/>
      <c r="B67" s="91"/>
      <c r="C67" s="91"/>
      <c r="D67" s="91"/>
      <c r="E67" s="91"/>
      <c r="F67" s="91"/>
      <c r="G67" s="90"/>
      <c r="H67" s="91"/>
      <c r="I67" s="91"/>
      <c r="J67" s="91"/>
      <c r="K67" s="91"/>
      <c r="L67" s="90"/>
      <c r="M67" s="90"/>
    </row>
    <row r="68" spans="1:13" x14ac:dyDescent="0.25">
      <c r="A68" s="90"/>
      <c r="B68" s="91"/>
      <c r="C68" s="91"/>
      <c r="D68" s="91"/>
      <c r="E68" s="91"/>
      <c r="F68" s="91"/>
      <c r="G68" s="90"/>
      <c r="H68" s="91"/>
      <c r="I68" s="91"/>
      <c r="J68" s="91"/>
      <c r="K68" s="90"/>
      <c r="L68" s="90"/>
      <c r="M68" s="90"/>
    </row>
    <row r="69" spans="1:13" x14ac:dyDescent="0.25">
      <c r="A69" s="90"/>
      <c r="B69" s="91"/>
      <c r="C69" s="91"/>
      <c r="D69" s="91"/>
      <c r="E69" s="91"/>
      <c r="F69" s="91"/>
      <c r="G69" s="90"/>
      <c r="H69" s="91"/>
      <c r="I69" s="91"/>
      <c r="J69" s="91"/>
      <c r="K69" s="91"/>
      <c r="L69" s="90"/>
      <c r="M69" s="90"/>
    </row>
    <row r="70" spans="1:13" x14ac:dyDescent="0.25">
      <c r="A70" s="90"/>
      <c r="B70" s="91"/>
      <c r="C70" s="91"/>
      <c r="D70" s="91"/>
      <c r="E70" s="91"/>
      <c r="F70" s="91"/>
      <c r="G70" s="90"/>
      <c r="H70" s="91"/>
      <c r="I70" s="91"/>
      <c r="J70" s="91"/>
      <c r="K70" s="91"/>
      <c r="L70" s="90"/>
      <c r="M70" s="90"/>
    </row>
    <row r="71" spans="1:13" x14ac:dyDescent="0.25">
      <c r="A71" s="90"/>
      <c r="B71" s="91"/>
      <c r="C71" s="91"/>
      <c r="D71" s="91"/>
      <c r="E71" s="91"/>
      <c r="F71" s="91"/>
      <c r="G71" s="90"/>
      <c r="H71" s="91"/>
      <c r="I71" s="91"/>
      <c r="J71" s="91"/>
      <c r="K71" s="91"/>
      <c r="L71" s="90"/>
      <c r="M71" s="90"/>
    </row>
    <row r="72" spans="1:13" x14ac:dyDescent="0.25">
      <c r="A72" s="90"/>
      <c r="B72" s="91"/>
      <c r="C72" s="91"/>
      <c r="D72" s="91"/>
      <c r="E72" s="91"/>
      <c r="F72" s="91"/>
      <c r="G72" s="90"/>
      <c r="H72" s="91"/>
      <c r="I72" s="91"/>
      <c r="J72" s="91"/>
      <c r="K72" s="91"/>
      <c r="L72" s="90"/>
      <c r="M72" s="90"/>
    </row>
    <row r="73" spans="1:13" x14ac:dyDescent="0.25">
      <c r="A73" s="90"/>
      <c r="B73" s="91"/>
      <c r="C73" s="91"/>
      <c r="D73" s="91"/>
      <c r="E73" s="91"/>
      <c r="F73" s="91"/>
      <c r="G73" s="90"/>
      <c r="H73" s="90"/>
      <c r="I73" s="91"/>
      <c r="J73" s="91"/>
      <c r="K73" s="90"/>
      <c r="L73" s="90"/>
      <c r="M73" s="90"/>
    </row>
    <row r="74" spans="1:13" x14ac:dyDescent="0.25">
      <c r="A74" s="90"/>
      <c r="B74" s="91"/>
      <c r="C74" s="91"/>
      <c r="D74" s="91"/>
      <c r="E74" s="91"/>
      <c r="F74" s="91"/>
      <c r="G74" s="90"/>
      <c r="H74" s="90"/>
      <c r="I74" s="91"/>
      <c r="J74" s="91"/>
      <c r="K74" s="91"/>
      <c r="L74" s="90"/>
      <c r="M74" s="90"/>
    </row>
    <row r="75" spans="1:13" x14ac:dyDescent="0.25">
      <c r="A75" s="90"/>
      <c r="B75" s="91"/>
      <c r="C75" s="91"/>
      <c r="D75" s="91"/>
      <c r="E75" s="91"/>
      <c r="F75" s="91"/>
      <c r="G75" s="90"/>
      <c r="H75" s="90"/>
      <c r="I75" s="90"/>
      <c r="J75" s="90"/>
      <c r="K75" s="90"/>
      <c r="L75" s="90"/>
      <c r="M75" s="90"/>
    </row>
    <row r="76" spans="1:13" x14ac:dyDescent="0.25">
      <c r="A76" s="90"/>
      <c r="B76" s="91"/>
      <c r="C76" s="91"/>
      <c r="D76" s="91"/>
      <c r="E76" s="91"/>
      <c r="F76" s="91"/>
      <c r="G76" s="90"/>
      <c r="H76" s="90"/>
      <c r="I76" s="90"/>
      <c r="J76" s="90"/>
      <c r="K76" s="90"/>
      <c r="L76" s="90"/>
      <c r="M76" s="90"/>
    </row>
    <row r="77" spans="1:13" x14ac:dyDescent="0.25">
      <c r="A77" s="90"/>
      <c r="B77" s="91"/>
      <c r="C77" s="91"/>
      <c r="D77" s="91"/>
      <c r="E77" s="91"/>
      <c r="F77" s="91"/>
      <c r="G77" s="90"/>
      <c r="H77" s="90"/>
      <c r="I77" s="90"/>
      <c r="J77" s="90"/>
      <c r="K77" s="90"/>
      <c r="L77" s="90"/>
      <c r="M77" s="90"/>
    </row>
    <row r="78" spans="1:13" x14ac:dyDescent="0.25">
      <c r="A78" s="90"/>
      <c r="B78" s="91"/>
      <c r="C78" s="91"/>
      <c r="D78" s="91"/>
      <c r="E78" s="91"/>
      <c r="F78" s="91"/>
      <c r="G78" s="90"/>
      <c r="H78" s="90"/>
      <c r="I78" s="90"/>
      <c r="J78" s="90"/>
      <c r="K78" s="90"/>
      <c r="L78" s="90"/>
      <c r="M78" s="90"/>
    </row>
    <row r="79" spans="1:13" x14ac:dyDescent="0.25">
      <c r="A79" s="90"/>
      <c r="B79" s="91"/>
      <c r="C79" s="91"/>
      <c r="D79" s="91"/>
      <c r="E79" s="91"/>
      <c r="F79" s="91"/>
      <c r="G79" s="90"/>
      <c r="H79" s="90"/>
      <c r="I79" s="90"/>
      <c r="J79" s="90"/>
      <c r="K79" s="90"/>
      <c r="L79" s="90"/>
      <c r="M79" s="90"/>
    </row>
    <row r="80" spans="1:13" x14ac:dyDescent="0.25">
      <c r="A80" s="90"/>
      <c r="B80" s="91"/>
      <c r="C80" s="91"/>
      <c r="D80" s="91"/>
      <c r="E80" s="91"/>
      <c r="F80" s="91"/>
      <c r="G80" s="90"/>
      <c r="H80" s="91"/>
      <c r="I80" s="91"/>
      <c r="J80" s="91"/>
      <c r="K80" s="90"/>
      <c r="L80" s="90"/>
      <c r="M80" s="90"/>
    </row>
    <row r="81" spans="1:13" x14ac:dyDescent="0.25">
      <c r="A81" s="90"/>
      <c r="B81" s="91"/>
      <c r="C81" s="91"/>
      <c r="D81" s="91"/>
      <c r="E81" s="91"/>
      <c r="F81" s="91"/>
      <c r="G81" s="90"/>
      <c r="H81" s="91"/>
      <c r="I81" s="91"/>
      <c r="J81" s="91"/>
      <c r="K81" s="90"/>
      <c r="L81" s="90"/>
      <c r="M81" s="90"/>
    </row>
    <row r="82" spans="1:13" x14ac:dyDescent="0.25">
      <c r="A82" s="90"/>
      <c r="B82" s="91"/>
      <c r="C82" s="91"/>
      <c r="D82" s="91"/>
      <c r="E82" s="91"/>
      <c r="F82" s="91"/>
      <c r="G82" s="90"/>
      <c r="H82" s="90"/>
      <c r="I82" s="90"/>
      <c r="J82" s="90"/>
      <c r="K82" s="90"/>
      <c r="L82" s="90"/>
      <c r="M82" s="90"/>
    </row>
    <row r="83" spans="1:13" x14ac:dyDescent="0.25">
      <c r="A83" s="90"/>
      <c r="B83" s="91"/>
      <c r="C83" s="91"/>
      <c r="D83" s="91"/>
      <c r="E83" s="91"/>
      <c r="F83" s="91"/>
      <c r="G83" s="90"/>
      <c r="H83" s="91"/>
      <c r="I83" s="91"/>
      <c r="J83" s="91"/>
      <c r="K83" s="90"/>
      <c r="L83" s="90"/>
      <c r="M83" s="90"/>
    </row>
    <row r="84" spans="1:13" x14ac:dyDescent="0.25">
      <c r="A84" s="90"/>
      <c r="B84" s="91"/>
      <c r="C84" s="91"/>
      <c r="D84" s="91"/>
      <c r="E84" s="91"/>
      <c r="F84" s="91"/>
      <c r="G84" s="90"/>
      <c r="H84" s="91"/>
      <c r="I84" s="91"/>
      <c r="J84" s="91"/>
      <c r="K84" s="90"/>
      <c r="L84" s="90"/>
      <c r="M84" s="90"/>
    </row>
    <row r="85" spans="1:13" x14ac:dyDescent="0.25">
      <c r="A85" s="90"/>
      <c r="B85" s="91"/>
      <c r="C85" s="91"/>
      <c r="D85" s="91"/>
      <c r="E85" s="91"/>
      <c r="F85" s="91"/>
      <c r="G85" s="90"/>
      <c r="H85" s="90"/>
      <c r="I85" s="90"/>
      <c r="J85" s="90"/>
      <c r="K85" s="90"/>
      <c r="L85" s="90"/>
      <c r="M85" s="90"/>
    </row>
    <row r="86" spans="1:13" x14ac:dyDescent="0.25">
      <c r="A86" s="90"/>
      <c r="B86" s="91"/>
      <c r="C86" s="91"/>
      <c r="D86" s="91"/>
      <c r="E86" s="91"/>
      <c r="F86" s="91"/>
      <c r="G86" s="90"/>
      <c r="H86" s="90"/>
      <c r="I86" s="90"/>
      <c r="J86" s="90"/>
      <c r="K86" s="90"/>
      <c r="L86" s="90"/>
      <c r="M86" s="90"/>
    </row>
    <row r="87" spans="1:13" x14ac:dyDescent="0.25">
      <c r="A87" s="90"/>
      <c r="B87" s="91"/>
      <c r="C87" s="91"/>
      <c r="D87" s="91"/>
      <c r="E87" s="91"/>
      <c r="F87" s="91"/>
      <c r="G87" s="90"/>
      <c r="H87" s="90"/>
      <c r="I87" s="90"/>
      <c r="J87" s="90"/>
      <c r="K87" s="90"/>
      <c r="L87" s="90"/>
      <c r="M87" s="90"/>
    </row>
    <row r="88" spans="1:13" x14ac:dyDescent="0.25">
      <c r="A88" s="90"/>
      <c r="B88" s="91"/>
      <c r="C88" s="91"/>
      <c r="D88" s="91"/>
      <c r="E88" s="91"/>
      <c r="F88" s="91"/>
      <c r="G88" s="90"/>
      <c r="H88" s="90"/>
      <c r="I88" s="90"/>
      <c r="J88" s="90"/>
      <c r="K88" s="90"/>
      <c r="L88" s="90"/>
      <c r="M88" s="90"/>
    </row>
    <row r="89" spans="1:13" x14ac:dyDescent="0.25">
      <c r="A89" s="90"/>
      <c r="B89" s="91"/>
      <c r="C89" s="91"/>
      <c r="D89" s="91"/>
      <c r="E89" s="91"/>
      <c r="F89" s="91"/>
      <c r="G89" s="90"/>
      <c r="H89" s="90"/>
      <c r="I89" s="90"/>
      <c r="J89" s="90"/>
      <c r="K89" s="90"/>
      <c r="L89" s="90"/>
      <c r="M89" s="90"/>
    </row>
    <row r="90" spans="1:13" x14ac:dyDescent="0.25">
      <c r="A90" s="90"/>
      <c r="B90" s="91"/>
      <c r="C90" s="91"/>
      <c r="D90" s="91"/>
      <c r="E90" s="91"/>
      <c r="F90" s="91"/>
      <c r="G90" s="90"/>
      <c r="H90" s="90"/>
      <c r="I90" s="90"/>
      <c r="J90" s="90"/>
      <c r="K90" s="90"/>
      <c r="L90" s="90"/>
      <c r="M90" s="90"/>
    </row>
    <row r="91" spans="1:13" x14ac:dyDescent="0.25">
      <c r="A91" s="90"/>
      <c r="B91" s="91"/>
      <c r="C91" s="91"/>
      <c r="D91" s="91"/>
      <c r="E91" s="91"/>
      <c r="F91" s="91"/>
      <c r="G91" s="90"/>
      <c r="H91" s="90"/>
      <c r="I91" s="90"/>
      <c r="J91" s="90"/>
      <c r="K91" s="90"/>
      <c r="L91" s="90"/>
      <c r="M91" s="90"/>
    </row>
    <row r="92" spans="1:13" x14ac:dyDescent="0.25">
      <c r="A92" s="90"/>
      <c r="B92" s="91"/>
      <c r="C92" s="91"/>
      <c r="D92" s="91"/>
      <c r="E92" s="91"/>
      <c r="F92" s="91"/>
      <c r="G92" s="90"/>
      <c r="H92" s="90"/>
      <c r="I92" s="90"/>
      <c r="J92" s="90"/>
      <c r="K92" s="90"/>
      <c r="L92" s="90"/>
      <c r="M92" s="90"/>
    </row>
    <row r="93" spans="1:13" x14ac:dyDescent="0.25">
      <c r="A93" s="90"/>
      <c r="B93" s="91"/>
      <c r="C93" s="91"/>
      <c r="D93" s="91"/>
      <c r="E93" s="91"/>
      <c r="F93" s="91"/>
      <c r="G93" s="90"/>
      <c r="H93" s="90"/>
      <c r="I93" s="90"/>
      <c r="J93" s="90"/>
      <c r="K93" s="90"/>
      <c r="L93" s="90"/>
      <c r="M93" s="90"/>
    </row>
    <row r="94" spans="1:13" x14ac:dyDescent="0.25">
      <c r="A94" s="90"/>
      <c r="B94" s="91"/>
      <c r="C94" s="91"/>
      <c r="D94" s="91"/>
      <c r="E94" s="91"/>
      <c r="F94" s="91"/>
      <c r="G94" s="90"/>
      <c r="H94" s="91"/>
      <c r="I94" s="91"/>
      <c r="J94" s="91"/>
      <c r="K94" s="90"/>
      <c r="L94" s="90"/>
      <c r="M94" s="90"/>
    </row>
    <row r="95" spans="1:13" x14ac:dyDescent="0.25">
      <c r="A95" s="90"/>
      <c r="B95" s="91"/>
      <c r="C95" s="91"/>
      <c r="D95" s="91"/>
      <c r="E95" s="91"/>
      <c r="F95" s="91"/>
      <c r="G95" s="90"/>
      <c r="H95" s="91"/>
      <c r="I95" s="91"/>
      <c r="J95" s="91"/>
      <c r="K95" s="90"/>
      <c r="L95" s="90"/>
      <c r="M95" s="90"/>
    </row>
    <row r="96" spans="1:13" x14ac:dyDescent="0.25">
      <c r="A96" s="90"/>
      <c r="B96" s="91"/>
      <c r="C96" s="91"/>
      <c r="D96" s="91"/>
      <c r="E96" s="91"/>
      <c r="F96" s="91"/>
      <c r="G96" s="90"/>
      <c r="H96" s="90"/>
      <c r="I96" s="90"/>
      <c r="J96" s="90"/>
      <c r="K96" s="90"/>
      <c r="L96" s="90"/>
      <c r="M96" s="90"/>
    </row>
    <row r="97" spans="1:13" x14ac:dyDescent="0.25">
      <c r="A97" s="90"/>
      <c r="B97" s="91"/>
      <c r="C97" s="91"/>
      <c r="D97" s="91"/>
      <c r="E97" s="91"/>
      <c r="F97" s="91"/>
      <c r="G97" s="90"/>
      <c r="H97" s="91"/>
      <c r="I97" s="90"/>
      <c r="J97" s="90"/>
      <c r="K97" s="90"/>
      <c r="L97" s="90"/>
      <c r="M97" s="90"/>
    </row>
    <row r="98" spans="1:13" x14ac:dyDescent="0.25">
      <c r="A98" s="90"/>
      <c r="B98" s="91"/>
      <c r="C98" s="91"/>
      <c r="D98" s="91"/>
      <c r="E98" s="91"/>
      <c r="F98" s="91"/>
      <c r="G98" s="90"/>
      <c r="H98" s="90"/>
      <c r="I98" s="90"/>
      <c r="J98" s="90"/>
      <c r="K98" s="90"/>
      <c r="L98" s="90"/>
      <c r="M98" s="90"/>
    </row>
    <row r="99" spans="1:13" x14ac:dyDescent="0.25">
      <c r="A99" s="90"/>
      <c r="B99" s="91"/>
      <c r="C99" s="91"/>
      <c r="D99" s="91"/>
      <c r="E99" s="91"/>
      <c r="F99" s="91"/>
      <c r="G99" s="90"/>
      <c r="H99" s="90"/>
      <c r="I99" s="90"/>
      <c r="J99" s="90"/>
      <c r="K99" s="90"/>
      <c r="L99" s="90"/>
      <c r="M99" s="90"/>
    </row>
    <row r="100" spans="1:13" x14ac:dyDescent="0.25">
      <c r="A100" s="90"/>
      <c r="B100" s="91"/>
      <c r="C100" s="91"/>
      <c r="D100" s="91"/>
      <c r="E100" s="91"/>
      <c r="F100" s="91"/>
      <c r="G100" s="90"/>
      <c r="H100" s="90"/>
      <c r="I100" s="90"/>
      <c r="J100" s="90"/>
      <c r="K100" s="90"/>
      <c r="L100" s="90"/>
      <c r="M100" s="90"/>
    </row>
    <row r="101" spans="1:13" x14ac:dyDescent="0.25">
      <c r="A101" s="90"/>
      <c r="B101" s="91"/>
      <c r="C101" s="91"/>
      <c r="D101" s="91"/>
      <c r="E101" s="91"/>
      <c r="F101" s="91"/>
      <c r="G101" s="90"/>
      <c r="H101" s="90"/>
      <c r="I101" s="90"/>
      <c r="J101" s="90"/>
      <c r="K101" s="90"/>
      <c r="L101" s="90"/>
      <c r="M101" s="90"/>
    </row>
    <row r="102" spans="1:13" x14ac:dyDescent="0.25">
      <c r="A102" s="90"/>
      <c r="B102" s="91"/>
      <c r="C102" s="91"/>
      <c r="D102" s="91"/>
      <c r="E102" s="91"/>
      <c r="F102" s="91"/>
      <c r="G102" s="90"/>
      <c r="H102" s="90"/>
      <c r="I102" s="90"/>
      <c r="J102" s="90"/>
      <c r="K102" s="90"/>
      <c r="L102" s="90"/>
      <c r="M102" s="90"/>
    </row>
    <row r="103" spans="1:13" x14ac:dyDescent="0.25">
      <c r="A103" s="90"/>
      <c r="B103" s="91"/>
      <c r="C103" s="91"/>
      <c r="D103" s="91"/>
      <c r="E103" s="91"/>
      <c r="F103" s="91"/>
      <c r="G103" s="90"/>
      <c r="H103" s="91"/>
      <c r="I103" s="91"/>
      <c r="J103" s="91"/>
      <c r="K103" s="90"/>
      <c r="L103" s="90"/>
      <c r="M103" s="90"/>
    </row>
    <row r="104" spans="1:13" x14ac:dyDescent="0.25">
      <c r="A104" s="90"/>
      <c r="B104" s="91"/>
      <c r="C104" s="91"/>
      <c r="D104" s="91"/>
      <c r="E104" s="91"/>
      <c r="F104" s="91"/>
      <c r="G104" s="90"/>
      <c r="H104" s="91"/>
      <c r="I104" s="91"/>
      <c r="J104" s="91"/>
      <c r="K104" s="90"/>
      <c r="L104" s="90"/>
      <c r="M104" s="90"/>
    </row>
    <row r="105" spans="1:13" x14ac:dyDescent="0.25">
      <c r="A105" s="90"/>
      <c r="B105" s="91"/>
      <c r="C105" s="91"/>
      <c r="D105" s="91"/>
      <c r="E105" s="91"/>
      <c r="F105" s="90"/>
      <c r="G105" s="90"/>
      <c r="H105" s="90"/>
      <c r="I105" s="90"/>
      <c r="J105" s="90"/>
      <c r="K105" s="90"/>
      <c r="L105" s="90"/>
      <c r="M105" s="90"/>
    </row>
    <row r="106" spans="1:13" x14ac:dyDescent="0.25">
      <c r="A106" s="90"/>
      <c r="B106" s="91"/>
      <c r="C106" s="91"/>
      <c r="D106" s="91"/>
      <c r="E106" s="91"/>
      <c r="F106" s="90"/>
      <c r="G106" s="90"/>
      <c r="H106" s="90"/>
      <c r="I106" s="90"/>
      <c r="J106" s="90"/>
      <c r="K106" s="90"/>
      <c r="L106" s="90"/>
      <c r="M106" s="90"/>
    </row>
    <row r="107" spans="1:13" x14ac:dyDescent="0.25">
      <c r="A107" s="90"/>
      <c r="B107" s="90"/>
      <c r="C107" s="91"/>
      <c r="D107" s="91"/>
      <c r="E107" s="91"/>
      <c r="F107" s="91"/>
      <c r="G107" s="90"/>
      <c r="H107" s="90"/>
      <c r="I107" s="90"/>
      <c r="J107" s="90"/>
      <c r="K107" s="90"/>
      <c r="L107" s="90"/>
      <c r="M107" s="90"/>
    </row>
    <row r="108" spans="1:13" x14ac:dyDescent="0.25">
      <c r="A108" s="90"/>
      <c r="B108" s="90"/>
      <c r="C108" s="91"/>
      <c r="D108" s="91"/>
      <c r="E108" s="91"/>
      <c r="F108" s="91"/>
      <c r="G108" s="90"/>
      <c r="H108" s="90"/>
      <c r="I108" s="90"/>
      <c r="J108" s="90"/>
      <c r="K108" s="90"/>
      <c r="L108" s="90"/>
      <c r="M108" s="90"/>
    </row>
    <row r="109" spans="1:13" x14ac:dyDescent="0.25">
      <c r="A109" s="90"/>
      <c r="B109" s="90"/>
      <c r="C109" s="91"/>
      <c r="D109" s="91"/>
      <c r="E109" s="91"/>
      <c r="F109" s="91"/>
      <c r="G109" s="90"/>
      <c r="H109" s="90"/>
      <c r="I109" s="90"/>
      <c r="J109" s="90"/>
      <c r="K109" s="90"/>
      <c r="L109" s="90"/>
      <c r="M109" s="90"/>
    </row>
    <row r="110" spans="1:13" x14ac:dyDescent="0.25">
      <c r="A110" s="90"/>
      <c r="B110" s="90"/>
      <c r="C110" s="91"/>
      <c r="D110" s="91"/>
      <c r="E110" s="91"/>
      <c r="F110" s="91"/>
      <c r="G110" s="90"/>
      <c r="H110" s="91"/>
      <c r="I110" s="91"/>
      <c r="J110" s="91"/>
      <c r="K110" s="90"/>
      <c r="L110" s="90"/>
      <c r="M110" s="90"/>
    </row>
    <row r="111" spans="1:13" x14ac:dyDescent="0.25">
      <c r="A111" s="90"/>
      <c r="B111" s="91"/>
      <c r="C111" s="91"/>
      <c r="D111" s="91"/>
      <c r="E111" s="91"/>
      <c r="F111" s="91"/>
      <c r="G111" s="90"/>
      <c r="H111" s="91"/>
      <c r="I111" s="91"/>
      <c r="J111" s="91"/>
      <c r="K111" s="90"/>
      <c r="L111" s="90"/>
      <c r="M111" s="90"/>
    </row>
    <row r="112" spans="1:13" x14ac:dyDescent="0.25">
      <c r="A112" s="90"/>
      <c r="B112" s="90"/>
      <c r="C112" s="90"/>
      <c r="D112" s="91"/>
      <c r="E112" s="91"/>
      <c r="F112" s="91"/>
      <c r="G112" s="90"/>
      <c r="H112" s="91"/>
      <c r="I112" s="90"/>
      <c r="J112" s="90"/>
      <c r="K112" s="90"/>
      <c r="L112" s="90"/>
      <c r="M112" s="90"/>
    </row>
    <row r="113" spans="1:13" x14ac:dyDescent="0.25">
      <c r="A113" s="90"/>
      <c r="B113" s="91"/>
      <c r="C113" s="91"/>
      <c r="D113" s="91"/>
      <c r="E113" s="91"/>
      <c r="F113" s="91"/>
      <c r="G113" s="90"/>
      <c r="H113" s="91"/>
      <c r="I113" s="90"/>
      <c r="J113" s="90"/>
      <c r="K113" s="90"/>
      <c r="L113" s="90"/>
      <c r="M113" s="90"/>
    </row>
    <row r="114" spans="1:13" x14ac:dyDescent="0.25">
      <c r="A114" s="90"/>
      <c r="B114" s="91"/>
      <c r="C114" s="91"/>
      <c r="D114" s="91"/>
      <c r="E114" s="91"/>
      <c r="F114" s="91"/>
      <c r="G114" s="90"/>
      <c r="H114" s="90"/>
      <c r="I114" s="90"/>
      <c r="J114" s="90"/>
      <c r="K114" s="90"/>
      <c r="L114" s="90"/>
      <c r="M114" s="90"/>
    </row>
    <row r="115" spans="1:13" x14ac:dyDescent="0.25">
      <c r="A115" s="90"/>
      <c r="B115" s="91"/>
      <c r="C115" s="91"/>
      <c r="D115" s="91"/>
      <c r="E115" s="91"/>
      <c r="F115" s="91"/>
      <c r="G115" s="90"/>
      <c r="H115" s="91"/>
      <c r="I115" s="90"/>
      <c r="J115" s="90"/>
      <c r="K115" s="90"/>
      <c r="L115" s="90"/>
      <c r="M115" s="90"/>
    </row>
    <row r="116" spans="1:13" x14ac:dyDescent="0.25">
      <c r="A116" s="90"/>
      <c r="B116" s="90"/>
      <c r="C116" s="90"/>
      <c r="D116" s="90"/>
      <c r="E116" s="90"/>
      <c r="F116" s="90"/>
      <c r="G116" s="90"/>
      <c r="H116" s="91"/>
      <c r="I116" s="90"/>
      <c r="J116" s="90"/>
      <c r="K116" s="90"/>
      <c r="L116" s="90"/>
      <c r="M116" s="90"/>
    </row>
    <row r="117" spans="1:13" x14ac:dyDescent="0.25">
      <c r="A117" s="90"/>
      <c r="B117" s="91"/>
      <c r="C117" s="91"/>
      <c r="D117" s="91"/>
      <c r="E117" s="91"/>
      <c r="F117" s="91"/>
      <c r="G117" s="90"/>
      <c r="H117" s="90"/>
      <c r="I117" s="90"/>
      <c r="J117" s="90"/>
      <c r="K117" s="90"/>
      <c r="L117" s="90"/>
      <c r="M117" s="90"/>
    </row>
    <row r="118" spans="1:13" x14ac:dyDescent="0.25">
      <c r="A118" s="90"/>
      <c r="B118" s="91"/>
      <c r="C118" s="91"/>
      <c r="D118" s="91"/>
      <c r="E118" s="91"/>
      <c r="F118" s="91"/>
      <c r="G118" s="90"/>
      <c r="H118" s="90"/>
      <c r="I118" s="90"/>
      <c r="J118" s="90"/>
      <c r="K118" s="90"/>
      <c r="L118" s="90"/>
      <c r="M118" s="90"/>
    </row>
    <row r="119" spans="1:13" x14ac:dyDescent="0.25">
      <c r="A119" s="90"/>
      <c r="B119" s="91"/>
      <c r="C119" s="91"/>
      <c r="D119" s="91"/>
      <c r="E119" s="91"/>
      <c r="F119" s="91"/>
      <c r="G119" s="90"/>
      <c r="H119" s="91"/>
      <c r="I119" s="91"/>
      <c r="J119" s="91"/>
      <c r="K119" s="90"/>
      <c r="L119" s="90"/>
      <c r="M119" s="90"/>
    </row>
    <row r="120" spans="1:13" x14ac:dyDescent="0.25">
      <c r="A120" s="90"/>
      <c r="B120" s="90"/>
      <c r="C120" s="90"/>
      <c r="D120" s="91"/>
      <c r="E120" s="91"/>
      <c r="F120" s="91"/>
      <c r="G120" s="90"/>
      <c r="H120" s="91"/>
      <c r="I120" s="91"/>
      <c r="J120" s="91"/>
      <c r="K120" s="90"/>
      <c r="L120" s="90"/>
      <c r="M120" s="90"/>
    </row>
    <row r="121" spans="1:13" x14ac:dyDescent="0.25">
      <c r="A121" s="90"/>
      <c r="B121" s="90"/>
      <c r="C121" s="91"/>
      <c r="D121" s="91"/>
      <c r="E121" s="91"/>
      <c r="F121" s="91"/>
      <c r="G121" s="90"/>
      <c r="H121" s="90"/>
      <c r="I121" s="90"/>
      <c r="J121" s="90"/>
      <c r="K121" s="90"/>
      <c r="L121" s="90"/>
      <c r="M121" s="90"/>
    </row>
    <row r="122" spans="1:13" x14ac:dyDescent="0.25">
      <c r="A122" s="90"/>
      <c r="B122" s="91"/>
      <c r="C122" s="91"/>
      <c r="D122" s="91"/>
      <c r="E122" s="91"/>
      <c r="F122" s="91"/>
      <c r="G122" s="90"/>
      <c r="H122" s="90"/>
      <c r="I122" s="90"/>
      <c r="J122" s="90"/>
      <c r="K122" s="90"/>
      <c r="L122" s="90"/>
      <c r="M122" s="90"/>
    </row>
    <row r="123" spans="1:13" x14ac:dyDescent="0.25">
      <c r="A123" s="90"/>
      <c r="B123" s="91"/>
      <c r="C123" s="91"/>
      <c r="D123" s="91"/>
      <c r="E123" s="91"/>
      <c r="F123" s="91"/>
      <c r="G123" s="90"/>
    </row>
    <row r="124" spans="1:13" x14ac:dyDescent="0.25">
      <c r="A124" s="90"/>
      <c r="B124" s="90"/>
      <c r="C124" s="90"/>
      <c r="D124" s="90"/>
      <c r="E124" s="90"/>
      <c r="F124" s="91"/>
      <c r="G124" s="90"/>
    </row>
    <row r="125" spans="1:13" x14ac:dyDescent="0.25">
      <c r="A125" s="90"/>
      <c r="B125" s="90"/>
      <c r="C125" s="91"/>
      <c r="D125" s="91"/>
      <c r="E125" s="91"/>
      <c r="F125" s="91"/>
      <c r="G125" s="90"/>
    </row>
    <row r="126" spans="1:13" x14ac:dyDescent="0.25">
      <c r="A126" s="90"/>
      <c r="B126" s="90"/>
      <c r="C126" s="90"/>
      <c r="D126" s="91"/>
      <c r="E126" s="91"/>
      <c r="F126" s="91"/>
      <c r="G126" s="90"/>
    </row>
    <row r="127" spans="1:13" x14ac:dyDescent="0.25">
      <c r="A127" s="90"/>
      <c r="B127" s="90"/>
      <c r="C127" s="90"/>
      <c r="D127" s="91"/>
      <c r="E127" s="91"/>
      <c r="F127" s="91"/>
      <c r="G127" s="90"/>
    </row>
    <row r="128" spans="1:13" x14ac:dyDescent="0.25">
      <c r="A128" s="90"/>
      <c r="B128" s="90"/>
      <c r="C128" s="90"/>
      <c r="D128" s="90"/>
      <c r="E128" s="90"/>
      <c r="F128" s="90"/>
      <c r="G128" s="90"/>
    </row>
    <row r="129" spans="1:7" x14ac:dyDescent="0.25">
      <c r="A129" s="90"/>
      <c r="B129" s="90"/>
      <c r="C129" s="90"/>
      <c r="D129" s="90"/>
      <c r="E129" s="90"/>
      <c r="F129" s="90"/>
      <c r="G129" s="90"/>
    </row>
    <row r="130" spans="1:7" x14ac:dyDescent="0.25">
      <c r="A130" s="90"/>
      <c r="B130" s="90"/>
      <c r="C130" s="90"/>
      <c r="D130" s="91"/>
      <c r="E130" s="91"/>
      <c r="F130" s="91"/>
      <c r="G130" s="90"/>
    </row>
    <row r="131" spans="1:7" x14ac:dyDescent="0.25">
      <c r="A131" s="90"/>
      <c r="B131" s="90"/>
      <c r="C131" s="90"/>
      <c r="D131" s="91"/>
      <c r="E131" s="91"/>
      <c r="F131" s="91"/>
      <c r="G131" s="90"/>
    </row>
    <row r="132" spans="1:7" x14ac:dyDescent="0.25">
      <c r="A132" s="90"/>
      <c r="B132" s="90"/>
      <c r="C132" s="90"/>
      <c r="D132" s="90"/>
      <c r="E132" s="90"/>
      <c r="F132" s="90"/>
      <c r="G132" s="90"/>
    </row>
    <row r="133" spans="1:7" x14ac:dyDescent="0.25">
      <c r="A133" s="90"/>
      <c r="B133" s="90"/>
      <c r="C133" s="90"/>
      <c r="D133" s="90"/>
      <c r="E133" s="90"/>
      <c r="F133" s="90"/>
      <c r="G133" s="90"/>
    </row>
    <row r="134" spans="1:7" x14ac:dyDescent="0.25">
      <c r="A134" s="90"/>
      <c r="B134" s="91"/>
      <c r="C134" s="91"/>
      <c r="D134" s="91"/>
      <c r="E134" s="91"/>
      <c r="F134" s="91"/>
      <c r="G134" s="90"/>
    </row>
    <row r="135" spans="1:7" x14ac:dyDescent="0.25">
      <c r="A135" s="90"/>
      <c r="B135" s="91"/>
      <c r="C135" s="91"/>
      <c r="D135" s="91"/>
      <c r="E135" s="91"/>
      <c r="F135" s="91"/>
      <c r="G135" s="90"/>
    </row>
    <row r="136" spans="1:7" x14ac:dyDescent="0.25">
      <c r="A136" s="90"/>
      <c r="B136" s="91"/>
      <c r="C136" s="91"/>
      <c r="D136" s="91"/>
      <c r="E136" s="91"/>
      <c r="F136" s="91"/>
      <c r="G136" s="90"/>
    </row>
    <row r="137" spans="1:7" x14ac:dyDescent="0.25">
      <c r="A137" s="90"/>
      <c r="B137" s="91"/>
      <c r="C137" s="91"/>
      <c r="D137" s="91"/>
      <c r="E137" s="91"/>
      <c r="F137" s="91"/>
      <c r="G137" s="90"/>
    </row>
    <row r="138" spans="1:7" x14ac:dyDescent="0.25">
      <c r="A138" s="90"/>
      <c r="B138" s="91"/>
      <c r="C138" s="91"/>
      <c r="D138" s="90"/>
      <c r="E138" s="90"/>
      <c r="F138" s="90"/>
      <c r="G138" s="90"/>
    </row>
    <row r="139" spans="1:7" x14ac:dyDescent="0.25">
      <c r="A139" s="90"/>
      <c r="B139" s="90"/>
      <c r="C139" s="90"/>
      <c r="D139" s="91"/>
      <c r="E139" s="91"/>
      <c r="F139" s="91"/>
      <c r="G139" s="90"/>
    </row>
    <row r="140" spans="1:7" x14ac:dyDescent="0.25">
      <c r="A140" s="90"/>
      <c r="B140" s="90"/>
      <c r="C140" s="90"/>
      <c r="D140" s="91"/>
      <c r="E140" s="91"/>
      <c r="F140" s="91"/>
      <c r="G140" s="90"/>
    </row>
    <row r="141" spans="1:7" x14ac:dyDescent="0.25">
      <c r="A141" s="90"/>
      <c r="B141" s="90"/>
      <c r="C141" s="90"/>
      <c r="D141" s="91"/>
      <c r="E141" s="91"/>
      <c r="F141" s="91"/>
      <c r="G141" s="90"/>
    </row>
    <row r="142" spans="1:7" x14ac:dyDescent="0.25">
      <c r="A142" s="90"/>
      <c r="B142" s="90"/>
      <c r="C142" s="90"/>
      <c r="D142" s="91"/>
      <c r="E142" s="91"/>
      <c r="F142" s="91"/>
      <c r="G142" s="90"/>
    </row>
  </sheetData>
  <mergeCells count="1">
    <mergeCell ref="A5:F5"/>
  </mergeCells>
  <conditionalFormatting sqref="A12:G142">
    <cfRule type="containsBlanks" dxfId="0" priority="1">
      <formula>LEN(TRIM(A12))=0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"/>
  <sheetViews>
    <sheetView zoomScale="96" zoomScaleNormal="96" workbookViewId="0">
      <selection sqref="A1:C1"/>
    </sheetView>
  </sheetViews>
  <sheetFormatPr defaultColWidth="9.140625" defaultRowHeight="15" x14ac:dyDescent="0.25"/>
  <cols>
    <col min="1" max="1" width="16.28515625" style="1" bestFit="1" customWidth="1"/>
    <col min="2" max="2" width="15.140625" style="1" customWidth="1"/>
    <col min="3" max="3" width="16.42578125" style="1" customWidth="1"/>
    <col min="4" max="4" width="8.42578125" style="1" customWidth="1"/>
    <col min="5" max="5" width="8.28515625" style="1" customWidth="1"/>
    <col min="6" max="6" width="60" style="1" customWidth="1"/>
    <col min="7" max="7" width="10" style="1" customWidth="1"/>
    <col min="8" max="8" width="9.140625" style="1"/>
    <col min="9" max="9" width="13.140625" style="1" customWidth="1"/>
    <col min="10" max="11" width="13.28515625" style="1" bestFit="1" customWidth="1"/>
    <col min="12" max="12" width="9.140625" style="1"/>
    <col min="13" max="13" width="8.85546875" style="1" customWidth="1"/>
    <col min="14" max="14" width="9.7109375" style="1" customWidth="1"/>
    <col min="15" max="15" width="17.85546875" style="1" customWidth="1"/>
    <col min="16" max="16" width="17.140625" style="1" customWidth="1"/>
    <col min="17" max="17" width="14.85546875" style="1" customWidth="1"/>
    <col min="18" max="18" width="18.42578125" style="1" customWidth="1"/>
    <col min="19" max="19" width="14.7109375" style="1" customWidth="1"/>
    <col min="20" max="20" width="33.5703125" style="1" customWidth="1"/>
    <col min="21" max="21" width="14.85546875" style="1" customWidth="1"/>
    <col min="22" max="22" width="14.7109375" style="1" customWidth="1"/>
    <col min="23" max="23" width="32.140625" style="1" customWidth="1"/>
    <col min="24" max="24" width="13.28515625" style="1" customWidth="1"/>
    <col min="25" max="25" width="20" style="1" customWidth="1"/>
    <col min="26" max="26" width="19.42578125" style="1" customWidth="1"/>
    <col min="27" max="27" width="18.140625" style="1" customWidth="1"/>
    <col min="28" max="16384" width="9.140625" style="1"/>
  </cols>
  <sheetData>
    <row r="1" spans="1:23" ht="25.5" customHeight="1" x14ac:dyDescent="0.25">
      <c r="A1" s="143" t="s">
        <v>0</v>
      </c>
      <c r="B1" s="143"/>
      <c r="C1" s="144"/>
      <c r="F1" s="145" t="str">
        <f>CONCATENATE("2. számú táblázat - Állandó népesség összetétele nemek és korcsoportok szerint"," (",Q!$B$1-2,")")</f>
        <v>2. számú táblázat - Állandó népesség összetétele nemek és korcsoportok szerint (2018)</v>
      </c>
      <c r="G1" s="145"/>
      <c r="H1" s="145"/>
      <c r="I1" s="145"/>
      <c r="J1" s="145"/>
      <c r="K1" s="145"/>
      <c r="L1" s="2"/>
      <c r="N1" s="135" t="s">
        <v>1</v>
      </c>
      <c r="O1" s="135"/>
      <c r="P1" s="135"/>
      <c r="Q1" s="135"/>
      <c r="S1" s="135" t="s">
        <v>2</v>
      </c>
      <c r="T1" s="135"/>
      <c r="V1" s="135" t="s">
        <v>3</v>
      </c>
      <c r="W1" s="135"/>
    </row>
    <row r="2" spans="1:23" ht="75" x14ac:dyDescent="0.25">
      <c r="A2" s="3" t="s">
        <v>4</v>
      </c>
      <c r="B2" s="4" t="s">
        <v>93</v>
      </c>
      <c r="C2" s="3" t="s">
        <v>5</v>
      </c>
      <c r="F2" s="136" t="s">
        <v>6</v>
      </c>
      <c r="G2" s="138" t="s">
        <v>7</v>
      </c>
      <c r="H2" s="139"/>
      <c r="I2" s="140"/>
      <c r="J2" s="141" t="s">
        <v>8</v>
      </c>
      <c r="K2" s="142"/>
      <c r="L2" s="5"/>
      <c r="N2" s="3" t="s">
        <v>4</v>
      </c>
      <c r="O2" s="4" t="s">
        <v>204</v>
      </c>
      <c r="P2" s="4" t="s">
        <v>99</v>
      </c>
      <c r="Q2" s="4" t="s">
        <v>128</v>
      </c>
      <c r="S2" s="3" t="s">
        <v>4</v>
      </c>
      <c r="T2" s="4" t="s">
        <v>127</v>
      </c>
      <c r="V2" s="3" t="s">
        <v>4</v>
      </c>
      <c r="W2" s="4" t="s">
        <v>100</v>
      </c>
    </row>
    <row r="3" spans="1:23" ht="30" x14ac:dyDescent="0.25">
      <c r="A3" s="6">
        <f>Q!$B$1-5</f>
        <v>2015</v>
      </c>
      <c r="B3" s="16">
        <v>7469</v>
      </c>
      <c r="C3" s="23" t="s">
        <v>73</v>
      </c>
      <c r="F3" s="137"/>
      <c r="G3" s="3" t="s">
        <v>9</v>
      </c>
      <c r="H3" s="3" t="s">
        <v>10</v>
      </c>
      <c r="I3" s="4" t="s">
        <v>94</v>
      </c>
      <c r="J3" s="4" t="s">
        <v>95</v>
      </c>
      <c r="K3" s="4" t="s">
        <v>97</v>
      </c>
      <c r="L3" s="5"/>
      <c r="N3" s="6">
        <f>Q!$B$1-5</f>
        <v>2015</v>
      </c>
      <c r="O3" s="29">
        <v>993</v>
      </c>
      <c r="P3" s="29">
        <v>1718</v>
      </c>
      <c r="Q3" s="76">
        <f>IF(ISERR((O3/P3)*1),"-",(O3/P3)*1)</f>
        <v>0.57799767171129224</v>
      </c>
      <c r="S3" s="6">
        <f>Q!$B$1-5</f>
        <v>2015</v>
      </c>
      <c r="T3" s="96">
        <v>22.96</v>
      </c>
      <c r="V3" s="6">
        <f>Q!$B$1-5</f>
        <v>2015</v>
      </c>
      <c r="W3" s="96">
        <v>5.57</v>
      </c>
    </row>
    <row r="4" spans="1:23" x14ac:dyDescent="0.25">
      <c r="A4" s="6">
        <f>Q!$B$1-4</f>
        <v>2016</v>
      </c>
      <c r="B4" s="16">
        <v>7636</v>
      </c>
      <c r="C4" s="23">
        <f>IF(ISERR((B4/B3)*1),"-",(B4/B3)*1)</f>
        <v>1.0223590842147543</v>
      </c>
      <c r="F4" s="6" t="s">
        <v>96</v>
      </c>
      <c r="G4" s="125">
        <v>4095</v>
      </c>
      <c r="H4" s="125">
        <v>4312</v>
      </c>
      <c r="I4" s="81">
        <f>IF(SUM(G4,H4)=0,"-",SUM(G4,H4))</f>
        <v>8407</v>
      </c>
      <c r="J4" s="80">
        <f>IF(ISERR(G4/$I$4),"-",(G4/$I$4))</f>
        <v>0.48709408825978351</v>
      </c>
      <c r="K4" s="80">
        <f>IF(ISERR(H4/$I$4),"-",(H4/$I$4))</f>
        <v>0.51290591174021649</v>
      </c>
      <c r="L4" s="7"/>
      <c r="N4" s="6">
        <f>Q!$B$1-4</f>
        <v>2016</v>
      </c>
      <c r="O4" s="29">
        <v>1025</v>
      </c>
      <c r="P4" s="29">
        <v>1749</v>
      </c>
      <c r="Q4" s="76">
        <f t="shared" ref="Q4:Q7" si="0">IF(ISERR((O4/P4)*1),"-",(O4/P4)*1)</f>
        <v>0.58604917095483133</v>
      </c>
      <c r="S4" s="6">
        <f>Q!$B$1-4</f>
        <v>2016</v>
      </c>
      <c r="T4" s="96">
        <v>22.11</v>
      </c>
      <c r="V4" s="6">
        <f>Q!$B$1-4</f>
        <v>2016</v>
      </c>
      <c r="W4" s="96">
        <v>1.32</v>
      </c>
    </row>
    <row r="5" spans="1:23" x14ac:dyDescent="0.25">
      <c r="A5" s="6">
        <f>Q!$B$1-3</f>
        <v>2017</v>
      </c>
      <c r="B5" s="16">
        <v>7850</v>
      </c>
      <c r="C5" s="23">
        <f t="shared" ref="C5:C7" si="1">IF(ISERR((B5/B4)*1),"-",(B5/B4)*1)</f>
        <v>1.0280251440544788</v>
      </c>
      <c r="F5" s="6" t="s">
        <v>98</v>
      </c>
      <c r="G5" s="56"/>
      <c r="H5" s="57"/>
      <c r="I5" s="59">
        <v>266</v>
      </c>
      <c r="J5" s="134">
        <f>IF(ISERR(I5/$I$4),"-",(I5/$I$4))</f>
        <v>3.1640299750208163E-2</v>
      </c>
      <c r="K5" s="134"/>
      <c r="L5" s="7"/>
      <c r="N5" s="6">
        <f>Q!$B$1-3</f>
        <v>2017</v>
      </c>
      <c r="O5" s="29">
        <v>1053</v>
      </c>
      <c r="P5" s="29">
        <v>1798</v>
      </c>
      <c r="Q5" s="76">
        <f t="shared" si="0"/>
        <v>0.58565072302558396</v>
      </c>
      <c r="S5" s="6">
        <f>Q!$B$1-3</f>
        <v>2017</v>
      </c>
      <c r="T5" s="96">
        <v>25.05</v>
      </c>
      <c r="V5" s="6">
        <f>Q!$B$1-3</f>
        <v>2017</v>
      </c>
      <c r="W5" s="96">
        <v>0.77</v>
      </c>
    </row>
    <row r="6" spans="1:23" x14ac:dyDescent="0.25">
      <c r="A6" s="6">
        <f>Q!$B$1-2</f>
        <v>2018</v>
      </c>
      <c r="B6" s="16">
        <v>8138</v>
      </c>
      <c r="C6" s="23">
        <f t="shared" si="1"/>
        <v>1.0366878980891721</v>
      </c>
      <c r="F6" s="8" t="s">
        <v>200</v>
      </c>
      <c r="G6" s="48">
        <v>933</v>
      </c>
      <c r="H6" s="48">
        <v>919</v>
      </c>
      <c r="I6" s="65">
        <f t="shared" ref="I6:I10" si="2">IF(SUM(G6,H6)=0,"-",SUM(G6,H6))</f>
        <v>1852</v>
      </c>
      <c r="J6" s="80">
        <f t="shared" ref="J6:K9" si="3">IF(ISERR(G6/$I$4),"-",(G6/$I$4))</f>
        <v>0.11097894611633163</v>
      </c>
      <c r="K6" s="80">
        <f t="shared" si="3"/>
        <v>0.10931366718211015</v>
      </c>
      <c r="L6" s="7"/>
      <c r="N6" s="6">
        <f>Q!$B$1-2</f>
        <v>2018</v>
      </c>
      <c r="O6" s="29">
        <v>1132</v>
      </c>
      <c r="P6" s="29">
        <v>1852</v>
      </c>
      <c r="Q6" s="76">
        <f t="shared" si="0"/>
        <v>0.61123110151187909</v>
      </c>
      <c r="S6" s="6">
        <f>Q!$B$1-2</f>
        <v>2018</v>
      </c>
      <c r="T6" s="96">
        <v>29.15</v>
      </c>
      <c r="V6" s="6">
        <f>Q!$B$1-2</f>
        <v>2018</v>
      </c>
      <c r="W6" s="96">
        <v>3.25</v>
      </c>
    </row>
    <row r="7" spans="1:23" x14ac:dyDescent="0.25">
      <c r="A7" s="6">
        <f>Q!$B$1-1</f>
        <v>2019</v>
      </c>
      <c r="B7" s="16">
        <v>8347</v>
      </c>
      <c r="C7" s="23">
        <f t="shared" si="1"/>
        <v>1.0256819857458834</v>
      </c>
      <c r="F7" s="8" t="s">
        <v>201</v>
      </c>
      <c r="G7" s="48">
        <v>166</v>
      </c>
      <c r="H7" s="48">
        <v>139</v>
      </c>
      <c r="I7" s="65">
        <f t="shared" si="2"/>
        <v>305</v>
      </c>
      <c r="J7" s="80">
        <f t="shared" si="3"/>
        <v>1.9745450220054715E-2</v>
      </c>
      <c r="K7" s="80">
        <f t="shared" si="3"/>
        <v>1.6533840846913287E-2</v>
      </c>
      <c r="L7" s="7"/>
      <c r="N7" s="6">
        <f>Q!$B$1-1</f>
        <v>2019</v>
      </c>
      <c r="O7" s="29">
        <v>1219</v>
      </c>
      <c r="P7" s="29">
        <v>1940</v>
      </c>
      <c r="Q7" s="76">
        <f t="shared" si="0"/>
        <v>0.62835051546391751</v>
      </c>
      <c r="S7" s="6">
        <f>Q!$B$1-1</f>
        <v>2019</v>
      </c>
      <c r="T7" s="96">
        <v>18.440000000000001</v>
      </c>
      <c r="V7" s="6">
        <f>Q!$B$1-1</f>
        <v>2019</v>
      </c>
      <c r="W7" s="96">
        <v>3.15</v>
      </c>
    </row>
    <row r="8" spans="1:23" x14ac:dyDescent="0.25">
      <c r="A8" s="6">
        <f>Q!$B$1</f>
        <v>2020</v>
      </c>
      <c r="B8" s="16">
        <v>8709</v>
      </c>
      <c r="C8" s="23">
        <f>IF(ISERR((B8/B7)*1),"-",(B8/B7)*1)</f>
        <v>1.0433688750449264</v>
      </c>
      <c r="F8" s="8" t="s">
        <v>202</v>
      </c>
      <c r="G8" s="48">
        <v>2280</v>
      </c>
      <c r="H8" s="48">
        <v>2388</v>
      </c>
      <c r="I8" s="65">
        <f t="shared" si="2"/>
        <v>4668</v>
      </c>
      <c r="J8" s="80">
        <f t="shared" si="3"/>
        <v>0.27120256928749853</v>
      </c>
      <c r="K8" s="80">
        <f t="shared" si="3"/>
        <v>0.28404900678006423</v>
      </c>
      <c r="L8" s="7"/>
      <c r="N8" s="6">
        <f>Q!$B$1</f>
        <v>2020</v>
      </c>
      <c r="O8" s="29">
        <v>1285</v>
      </c>
      <c r="P8" s="29">
        <v>1938</v>
      </c>
      <c r="Q8" s="76">
        <f t="shared" ref="Q8" si="4">IF(ISERR((O8/P8)*1),"-",(O8/P8)*1)</f>
        <v>0.66305469556243546</v>
      </c>
      <c r="S8" s="6">
        <f>Q!$B$1</f>
        <v>2020</v>
      </c>
      <c r="T8" s="96">
        <v>13.2</v>
      </c>
      <c r="V8" s="6">
        <f>Q!$B$1</f>
        <v>2020</v>
      </c>
      <c r="W8" s="96">
        <v>3.2</v>
      </c>
    </row>
    <row r="9" spans="1:23" x14ac:dyDescent="0.25">
      <c r="A9" s="6">
        <f>Q!$B$1+1</f>
        <v>2021</v>
      </c>
      <c r="B9" s="16">
        <v>8882</v>
      </c>
      <c r="C9" s="23">
        <f>IF(ISERR((B9/B8)*1),"-",(B9/B8)*1)</f>
        <v>1.0198645079802504</v>
      </c>
      <c r="F9" s="8" t="s">
        <v>203</v>
      </c>
      <c r="G9" s="48">
        <v>218</v>
      </c>
      <c r="H9" s="48">
        <v>232</v>
      </c>
      <c r="I9" s="65">
        <f t="shared" si="2"/>
        <v>450</v>
      </c>
      <c r="J9" s="80">
        <f t="shared" si="3"/>
        <v>2.5930771975734505E-2</v>
      </c>
      <c r="K9" s="80">
        <f t="shared" si="3"/>
        <v>2.7596050909955989E-2</v>
      </c>
      <c r="L9" s="7"/>
      <c r="N9" s="6">
        <f>Q!$B$1+1</f>
        <v>2021</v>
      </c>
      <c r="O9" s="29">
        <v>1314</v>
      </c>
      <c r="P9" s="29">
        <v>1923</v>
      </c>
      <c r="Q9" s="76">
        <f t="shared" ref="Q9" si="5">IF(ISERR((O9/P9)*1),"-",(O9/P9)*1)</f>
        <v>0.68330733229329177</v>
      </c>
      <c r="S9" s="6">
        <f>Q!$B$1+1</f>
        <v>2021</v>
      </c>
      <c r="T9" s="96">
        <v>23.7</v>
      </c>
      <c r="V9" s="6">
        <f>Q!$B$1+1</f>
        <v>2021</v>
      </c>
      <c r="W9" s="96">
        <v>0.6</v>
      </c>
    </row>
    <row r="10" spans="1:23" x14ac:dyDescent="0.25">
      <c r="A10" s="1" t="s">
        <v>262</v>
      </c>
      <c r="B10" s="9"/>
      <c r="F10" s="8" t="s">
        <v>205</v>
      </c>
      <c r="G10" s="48">
        <v>498</v>
      </c>
      <c r="H10" s="48">
        <v>634</v>
      </c>
      <c r="I10" s="65">
        <f t="shared" si="2"/>
        <v>1132</v>
      </c>
      <c r="J10" s="80">
        <f>IF(ISERR(G10/$I$4),"-",(G10/$I$4))</f>
        <v>5.9236350660164146E-2</v>
      </c>
      <c r="K10" s="80">
        <f>IF(ISERR(H10/$I$4),"-",(H10/$I$4))</f>
        <v>7.5413346021172833E-2</v>
      </c>
      <c r="L10" s="7"/>
      <c r="N10" s="1" t="s">
        <v>11</v>
      </c>
      <c r="S10" s="1" t="s">
        <v>11</v>
      </c>
      <c r="T10" s="10"/>
      <c r="V10" s="1" t="s">
        <v>11</v>
      </c>
    </row>
    <row r="11" spans="1:23" x14ac:dyDescent="0.25">
      <c r="F11" s="1" t="s">
        <v>11</v>
      </c>
      <c r="J11" s="11"/>
      <c r="K11" s="11"/>
      <c r="L11" s="7"/>
      <c r="M11" s="7"/>
      <c r="T11" s="10"/>
    </row>
    <row r="12" spans="1:23" x14ac:dyDescent="0.25">
      <c r="L12" s="7"/>
      <c r="M12" s="7"/>
      <c r="N12" s="7"/>
      <c r="O12" s="7"/>
      <c r="P12" s="7"/>
    </row>
    <row r="13" spans="1:23" x14ac:dyDescent="0.25">
      <c r="B13" s="12"/>
      <c r="N13" s="7"/>
      <c r="O13" s="7"/>
      <c r="P13" s="7"/>
    </row>
    <row r="14" spans="1:23" x14ac:dyDescent="0.25">
      <c r="B14" s="12"/>
    </row>
  </sheetData>
  <mergeCells count="9">
    <mergeCell ref="A1:C1"/>
    <mergeCell ref="F1:K1"/>
    <mergeCell ref="J5:K5"/>
    <mergeCell ref="N1:Q1"/>
    <mergeCell ref="S1:T1"/>
    <mergeCell ref="V1:W1"/>
    <mergeCell ref="F2:F3"/>
    <mergeCell ref="G2:I2"/>
    <mergeCell ref="J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24"/>
  <sheetViews>
    <sheetView tabSelected="1" zoomScale="85" zoomScaleNormal="85" workbookViewId="0">
      <selection activeCell="H34" sqref="H34"/>
    </sheetView>
  </sheetViews>
  <sheetFormatPr defaultColWidth="9.140625" defaultRowHeight="15" x14ac:dyDescent="0.25"/>
  <cols>
    <col min="1" max="1" width="12.5703125" style="1" customWidth="1"/>
    <col min="2" max="2" width="19" style="1" customWidth="1"/>
    <col min="3" max="3" width="25.28515625" style="1" customWidth="1"/>
    <col min="4" max="4" width="7.140625" style="1" customWidth="1"/>
    <col min="5" max="5" width="9.42578125" style="1" customWidth="1"/>
    <col min="6" max="6" width="16" style="1" customWidth="1"/>
    <col min="7" max="7" width="15.85546875" style="1" customWidth="1"/>
    <col min="8" max="8" width="14.85546875" style="1" customWidth="1"/>
    <col min="9" max="9" width="11.28515625" style="1" customWidth="1"/>
    <col min="10" max="10" width="29.85546875" style="1" customWidth="1"/>
    <col min="11" max="11" width="9.140625" style="10"/>
    <col min="12" max="12" width="11" style="1" customWidth="1"/>
    <col min="13" max="13" width="11.42578125" style="1" customWidth="1"/>
    <col min="14" max="14" width="11.140625" style="1" customWidth="1"/>
    <col min="15" max="15" width="10.7109375" style="1" customWidth="1"/>
    <col min="16" max="18" width="10.5703125" style="1" customWidth="1"/>
    <col min="19" max="20" width="9.140625" style="1"/>
    <col min="21" max="21" width="19.85546875" style="1" customWidth="1"/>
    <col min="22" max="22" width="26.85546875" style="1" customWidth="1"/>
    <col min="23" max="23" width="13.7109375" style="1" customWidth="1"/>
    <col min="24" max="24" width="9.28515625" style="1" bestFit="1" customWidth="1"/>
    <col min="25" max="25" width="15" style="1" customWidth="1"/>
    <col min="26" max="26" width="15.5703125" style="1" customWidth="1"/>
    <col min="27" max="27" width="16" style="1" customWidth="1"/>
    <col min="28" max="28" width="9.140625" style="1" customWidth="1"/>
    <col min="29" max="29" width="11.85546875" style="1" customWidth="1"/>
    <col min="30" max="30" width="9.140625" style="1"/>
    <col min="31" max="31" width="20" style="1" customWidth="1"/>
    <col min="32" max="32" width="9.140625" style="1" customWidth="1"/>
    <col min="33" max="33" width="10.28515625" style="1" customWidth="1"/>
    <col min="34" max="34" width="31.5703125" style="1" customWidth="1"/>
    <col min="35" max="35" width="28.140625" style="1" customWidth="1"/>
    <col min="36" max="36" width="13.7109375" style="1" customWidth="1"/>
    <col min="37" max="37" width="16.7109375" style="1" customWidth="1"/>
    <col min="38" max="38" width="22.28515625" style="1" customWidth="1"/>
    <col min="39" max="39" width="22.85546875" style="1" customWidth="1"/>
    <col min="40" max="40" width="15.140625" style="1" customWidth="1"/>
    <col min="41" max="41" width="12.140625" style="1" customWidth="1"/>
    <col min="42" max="42" width="13.5703125" style="1" customWidth="1"/>
    <col min="43" max="43" width="15" style="1" customWidth="1"/>
    <col min="44" max="44" width="14.5703125" style="1" customWidth="1"/>
    <col min="45" max="45" width="24.7109375" style="1" customWidth="1"/>
    <col min="46" max="46" width="15.5703125" style="1" customWidth="1"/>
    <col min="47" max="47" width="14.42578125" style="1" customWidth="1"/>
    <col min="48" max="48" width="15.140625" style="1" customWidth="1"/>
    <col min="49" max="49" width="16.85546875" style="1" customWidth="1"/>
    <col min="50" max="50" width="15.42578125" style="1" customWidth="1"/>
    <col min="51" max="51" width="16.5703125" style="1" customWidth="1"/>
    <col min="52" max="52" width="16" style="1" customWidth="1"/>
    <col min="53" max="54" width="17.28515625" style="1" customWidth="1"/>
    <col min="55" max="55" width="13.5703125" style="1" customWidth="1"/>
    <col min="56" max="56" width="54" style="1" customWidth="1"/>
    <col min="57" max="57" width="22.42578125" style="1" customWidth="1"/>
    <col min="58" max="58" width="13.140625" style="1" customWidth="1"/>
    <col min="59" max="59" width="13.28515625" style="1" customWidth="1"/>
    <col min="60" max="60" width="13.42578125" style="1" customWidth="1"/>
    <col min="61" max="62" width="12.28515625" style="1" customWidth="1"/>
    <col min="63" max="63" width="17.7109375" style="1" customWidth="1"/>
    <col min="64" max="64" width="21.28515625" style="1" customWidth="1"/>
    <col min="65" max="65" width="18.28515625" style="1" customWidth="1"/>
    <col min="66" max="66" width="12.140625" style="1" customWidth="1"/>
    <col min="67" max="67" width="17.140625" style="1" customWidth="1"/>
    <col min="68" max="68" width="15.85546875" style="1" customWidth="1"/>
    <col min="69" max="69" width="16.42578125" style="1" customWidth="1"/>
    <col min="70" max="70" width="17.5703125" style="1" customWidth="1"/>
    <col min="71" max="71" width="9.140625" style="1"/>
    <col min="72" max="72" width="16.7109375" style="1" customWidth="1"/>
    <col min="73" max="73" width="23" style="1" customWidth="1"/>
    <col min="74" max="74" width="23.85546875" style="1" customWidth="1"/>
    <col min="75" max="75" width="12.7109375" style="1" customWidth="1"/>
    <col min="76" max="76" width="22.85546875" style="1" customWidth="1"/>
    <col min="77" max="77" width="24.28515625" style="1" customWidth="1"/>
    <col min="78" max="78" width="24" style="1" customWidth="1"/>
    <col min="79" max="79" width="10.85546875" style="1" customWidth="1"/>
    <col min="80" max="80" width="19.42578125" style="1" customWidth="1"/>
    <col min="81" max="81" width="21" style="1" customWidth="1"/>
    <col min="82" max="82" width="20.42578125" style="1" customWidth="1"/>
    <col min="83" max="83" width="17.7109375" style="1" customWidth="1"/>
    <col min="84" max="84" width="18" style="1" customWidth="1"/>
    <col min="85" max="85" width="22.28515625" style="1" customWidth="1"/>
    <col min="86" max="86" width="16.5703125" style="1" customWidth="1"/>
    <col min="87" max="87" width="12" style="1" customWidth="1"/>
    <col min="88" max="88" width="28.140625" style="1" customWidth="1"/>
    <col min="89" max="89" width="16.140625" style="1" customWidth="1"/>
    <col min="90" max="90" width="23" style="1" customWidth="1"/>
    <col min="91" max="91" width="20.28515625" style="1" customWidth="1"/>
    <col min="92" max="92" width="19.28515625" style="1" customWidth="1"/>
    <col min="93" max="93" width="16.85546875" style="1" customWidth="1"/>
    <col min="94" max="94" width="16.5703125" style="1" customWidth="1"/>
    <col min="95" max="16384" width="9.140625" style="1"/>
  </cols>
  <sheetData>
    <row r="1" spans="1:94" ht="30" customHeight="1" x14ac:dyDescent="0.25">
      <c r="A1" s="135" t="s">
        <v>21</v>
      </c>
      <c r="B1" s="135"/>
      <c r="C1" s="135"/>
      <c r="E1" s="135" t="s">
        <v>135</v>
      </c>
      <c r="F1" s="135"/>
      <c r="G1" s="135"/>
      <c r="H1" s="135"/>
      <c r="I1" s="97"/>
      <c r="J1" s="135" t="s">
        <v>12</v>
      </c>
      <c r="K1" s="135"/>
      <c r="L1" s="135"/>
      <c r="M1" s="135"/>
      <c r="N1" s="135"/>
      <c r="O1" s="135"/>
      <c r="P1" s="135"/>
      <c r="Q1" s="159"/>
      <c r="R1" s="129"/>
      <c r="S1" s="55"/>
      <c r="U1" s="143" t="s">
        <v>105</v>
      </c>
      <c r="V1" s="143"/>
      <c r="W1" s="143"/>
      <c r="X1" s="103"/>
      <c r="Y1" s="135" t="s">
        <v>65</v>
      </c>
      <c r="Z1" s="135"/>
      <c r="AA1" s="135"/>
      <c r="AB1" s="135"/>
      <c r="AC1" s="135"/>
      <c r="AD1" s="135"/>
      <c r="AE1" s="135"/>
      <c r="AF1" s="135"/>
      <c r="AG1" s="44"/>
      <c r="AH1" s="148" t="s">
        <v>198</v>
      </c>
      <c r="AI1" s="148"/>
      <c r="AJ1" s="148"/>
      <c r="AK1" s="45"/>
      <c r="AL1" s="145" t="s">
        <v>199</v>
      </c>
      <c r="AM1" s="145"/>
      <c r="AN1" s="155"/>
      <c r="AP1" s="151" t="s">
        <v>207</v>
      </c>
      <c r="AQ1" s="151"/>
      <c r="AR1" s="151"/>
      <c r="AS1" s="151"/>
      <c r="AT1" s="151"/>
      <c r="AU1" s="105"/>
      <c r="AV1" s="148" t="s">
        <v>206</v>
      </c>
      <c r="AW1" s="148"/>
      <c r="AX1" s="148"/>
      <c r="AY1" s="148"/>
      <c r="AZ1" s="148"/>
      <c r="BA1" s="148"/>
      <c r="BB1" s="148"/>
      <c r="BC1" s="50"/>
      <c r="BD1" s="161" t="s">
        <v>82</v>
      </c>
      <c r="BE1" s="161"/>
      <c r="BF1" s="51"/>
      <c r="BG1" s="135" t="s">
        <v>22</v>
      </c>
      <c r="BH1" s="135"/>
      <c r="BI1" s="135"/>
      <c r="BJ1" s="135"/>
      <c r="BK1" s="135"/>
      <c r="BL1" s="135"/>
      <c r="BM1" s="135"/>
      <c r="BN1" s="124"/>
      <c r="BO1" s="135" t="s">
        <v>72</v>
      </c>
      <c r="BP1" s="135"/>
      <c r="BQ1" s="135"/>
      <c r="BR1" s="135"/>
      <c r="BS1" s="135"/>
      <c r="BT1" s="135"/>
      <c r="BU1" s="135"/>
      <c r="BV1" s="135"/>
      <c r="BX1" s="162" t="s">
        <v>29</v>
      </c>
      <c r="BY1" s="162"/>
      <c r="BZ1" s="162"/>
      <c r="CB1" s="146" t="s">
        <v>69</v>
      </c>
      <c r="CC1" s="146"/>
      <c r="CD1" s="146"/>
      <c r="CE1" s="146"/>
      <c r="CF1" s="146"/>
      <c r="CG1" s="146"/>
      <c r="CH1" s="146"/>
      <c r="CI1" s="55"/>
      <c r="CJ1" s="165" t="s">
        <v>83</v>
      </c>
      <c r="CK1" s="166"/>
      <c r="CM1" s="146" t="str">
        <f>CONCATENATE("3.7.1. számú táblázat - Intézményi ellátottság"," (",Q!$B$1-2,")")</f>
        <v>3.7.1. számú táblázat - Intézményi ellátottság (2018)</v>
      </c>
      <c r="CN1" s="146"/>
      <c r="CO1" s="146"/>
      <c r="CP1" s="146"/>
    </row>
    <row r="2" spans="1:94" ht="105.75" customHeight="1" x14ac:dyDescent="0.25">
      <c r="A2" s="156" t="s">
        <v>4</v>
      </c>
      <c r="B2" s="75" t="s">
        <v>104</v>
      </c>
      <c r="C2" s="75" t="s">
        <v>248</v>
      </c>
      <c r="E2" s="150" t="s">
        <v>13</v>
      </c>
      <c r="F2" s="147" t="s">
        <v>147</v>
      </c>
      <c r="G2" s="150"/>
      <c r="H2" s="150"/>
      <c r="I2" s="98"/>
      <c r="J2" s="149" t="s">
        <v>14</v>
      </c>
      <c r="K2" s="77" t="s">
        <v>4</v>
      </c>
      <c r="L2" s="77">
        <f>Q!$B$1-5</f>
        <v>2015</v>
      </c>
      <c r="M2" s="77">
        <f>Q!$B$1-4</f>
        <v>2016</v>
      </c>
      <c r="N2" s="77">
        <f>Q!$B$1-3</f>
        <v>2017</v>
      </c>
      <c r="O2" s="77">
        <f>Q!$B$1-2</f>
        <v>2018</v>
      </c>
      <c r="P2" s="77">
        <f>Q!$B$1-1</f>
        <v>2019</v>
      </c>
      <c r="Q2" s="77">
        <f>Q!$B$1</f>
        <v>2020</v>
      </c>
      <c r="R2" s="77">
        <f>Q!$B$1+1</f>
        <v>2021</v>
      </c>
      <c r="S2" s="52"/>
      <c r="U2" s="150" t="s">
        <v>13</v>
      </c>
      <c r="V2" s="147" t="s">
        <v>103</v>
      </c>
      <c r="W2" s="147" t="s">
        <v>150</v>
      </c>
      <c r="X2" s="52"/>
      <c r="Y2" s="150" t="s">
        <v>4</v>
      </c>
      <c r="Z2" s="147" t="s">
        <v>191</v>
      </c>
      <c r="AA2" s="147" t="s">
        <v>63</v>
      </c>
      <c r="AB2" s="147"/>
      <c r="AC2" s="147"/>
      <c r="AD2" s="147"/>
      <c r="AE2" s="147"/>
      <c r="AF2" s="147"/>
      <c r="AG2" s="45"/>
      <c r="AH2" s="158" t="s">
        <v>4</v>
      </c>
      <c r="AI2" s="4" t="s">
        <v>170</v>
      </c>
      <c r="AJ2" s="4" t="s">
        <v>172</v>
      </c>
      <c r="AL2" s="136" t="s">
        <v>13</v>
      </c>
      <c r="AM2" s="78" t="s">
        <v>102</v>
      </c>
      <c r="AN2" s="77" t="s">
        <v>151</v>
      </c>
      <c r="AO2" s="45"/>
      <c r="AP2" s="147" t="s">
        <v>4</v>
      </c>
      <c r="AQ2" s="147" t="s">
        <v>102</v>
      </c>
      <c r="AR2" s="147"/>
      <c r="AS2" s="147" t="s">
        <v>171</v>
      </c>
      <c r="AT2" s="147"/>
      <c r="AU2" s="30"/>
      <c r="AV2" s="147" t="s">
        <v>4</v>
      </c>
      <c r="AW2" s="147" t="s">
        <v>192</v>
      </c>
      <c r="AX2" s="147"/>
      <c r="AY2" s="147" t="s">
        <v>193</v>
      </c>
      <c r="AZ2" s="147"/>
      <c r="BA2" s="147" t="s">
        <v>194</v>
      </c>
      <c r="BB2" s="147"/>
      <c r="BC2" s="52"/>
      <c r="BD2" s="136" t="s">
        <v>4</v>
      </c>
      <c r="BE2" s="58" t="s">
        <v>195</v>
      </c>
      <c r="BF2" s="51"/>
      <c r="BG2" s="163" t="s">
        <v>4</v>
      </c>
      <c r="BH2" s="33" t="s">
        <v>209</v>
      </c>
      <c r="BI2" s="33" t="s">
        <v>210</v>
      </c>
      <c r="BJ2" s="33" t="s">
        <v>211</v>
      </c>
      <c r="BK2" s="33" t="s">
        <v>212</v>
      </c>
      <c r="BL2" s="33" t="s">
        <v>213</v>
      </c>
      <c r="BM2" s="33" t="s">
        <v>208</v>
      </c>
      <c r="BO2" s="167" t="s">
        <v>4</v>
      </c>
      <c r="BP2" s="15" t="s">
        <v>110</v>
      </c>
      <c r="BQ2" s="15" t="s">
        <v>23</v>
      </c>
      <c r="BR2" s="15" t="s">
        <v>24</v>
      </c>
      <c r="BS2" s="15" t="s">
        <v>23</v>
      </c>
      <c r="BT2" s="15" t="s">
        <v>25</v>
      </c>
      <c r="BU2" s="15" t="s">
        <v>23</v>
      </c>
      <c r="BV2" s="15" t="s">
        <v>26</v>
      </c>
      <c r="BX2" s="168" t="s">
        <v>4</v>
      </c>
      <c r="BY2" s="33" t="s">
        <v>214</v>
      </c>
      <c r="BZ2" s="33" t="s">
        <v>215</v>
      </c>
      <c r="CB2" s="150" t="s">
        <v>4</v>
      </c>
      <c r="CC2" s="4" t="s">
        <v>216</v>
      </c>
      <c r="CD2" s="4" t="s">
        <v>142</v>
      </c>
      <c r="CE2" s="4" t="s">
        <v>116</v>
      </c>
      <c r="CF2" s="33" t="s">
        <v>217</v>
      </c>
      <c r="CG2" s="54" t="s">
        <v>218</v>
      </c>
      <c r="CH2" s="4" t="s">
        <v>125</v>
      </c>
      <c r="CI2" s="52"/>
      <c r="CJ2" s="3" t="s">
        <v>4</v>
      </c>
      <c r="CK2" s="58" t="s">
        <v>85</v>
      </c>
      <c r="CM2" s="20" t="s">
        <v>219</v>
      </c>
      <c r="CN2" s="20" t="s">
        <v>220</v>
      </c>
      <c r="CO2" s="20" t="s">
        <v>196</v>
      </c>
      <c r="CP2" s="20" t="s">
        <v>197</v>
      </c>
    </row>
    <row r="3" spans="1:94" ht="32.25" customHeight="1" x14ac:dyDescent="0.25">
      <c r="A3" s="157"/>
      <c r="B3" s="33" t="s">
        <v>190</v>
      </c>
      <c r="C3" s="33" t="s">
        <v>189</v>
      </c>
      <c r="E3" s="150"/>
      <c r="F3" s="4" t="s">
        <v>188</v>
      </c>
      <c r="G3" s="4" t="s">
        <v>143</v>
      </c>
      <c r="H3" s="3" t="s">
        <v>16</v>
      </c>
      <c r="I3" s="99"/>
      <c r="J3" s="147"/>
      <c r="K3" s="4" t="s">
        <v>15</v>
      </c>
      <c r="L3" s="13">
        <f t="shared" ref="L3:R3" si="0">SUM(L4,L6,L8,L10,L12,L14,L16,L18,L20,L22)</f>
        <v>53</v>
      </c>
      <c r="M3" s="13">
        <f t="shared" si="0"/>
        <v>41</v>
      </c>
      <c r="N3" s="13">
        <f t="shared" si="0"/>
        <v>58</v>
      </c>
      <c r="O3" s="13">
        <f t="shared" si="0"/>
        <v>50</v>
      </c>
      <c r="P3" s="13">
        <f t="shared" si="0"/>
        <v>43</v>
      </c>
      <c r="Q3" s="13">
        <f t="shared" ref="Q3" si="1">SUM(Q4,Q6,Q8,Q10,Q12,Q14,Q16,Q18,Q20,Q22)</f>
        <v>65</v>
      </c>
      <c r="R3" s="13">
        <f t="shared" si="0"/>
        <v>39</v>
      </c>
      <c r="S3" s="130"/>
      <c r="U3" s="150"/>
      <c r="V3" s="147"/>
      <c r="W3" s="147"/>
      <c r="X3" s="52"/>
      <c r="Y3" s="150"/>
      <c r="Z3" s="147"/>
      <c r="AA3" s="147" t="s">
        <v>126</v>
      </c>
      <c r="AB3" s="147"/>
      <c r="AC3" s="147" t="s">
        <v>101</v>
      </c>
      <c r="AD3" s="147"/>
      <c r="AE3" s="147" t="s">
        <v>106</v>
      </c>
      <c r="AF3" s="147"/>
      <c r="AG3" s="45"/>
      <c r="AH3" s="149"/>
      <c r="AI3" s="3" t="s">
        <v>7</v>
      </c>
      <c r="AJ3" s="4" t="s">
        <v>173</v>
      </c>
      <c r="AL3" s="137"/>
      <c r="AM3" s="3" t="s">
        <v>7</v>
      </c>
      <c r="AN3" s="3" t="s">
        <v>7</v>
      </c>
      <c r="AO3" s="45"/>
      <c r="AP3" s="147"/>
      <c r="AQ3" s="3" t="s">
        <v>7</v>
      </c>
      <c r="AR3" s="47" t="s">
        <v>75</v>
      </c>
      <c r="AS3" s="3" t="s">
        <v>7</v>
      </c>
      <c r="AT3" s="42" t="s">
        <v>19</v>
      </c>
      <c r="AU3" s="30"/>
      <c r="AV3" s="147"/>
      <c r="AW3" s="42" t="s">
        <v>7</v>
      </c>
      <c r="AX3" s="4" t="s">
        <v>20</v>
      </c>
      <c r="AY3" s="4" t="s">
        <v>7</v>
      </c>
      <c r="AZ3" s="4" t="s">
        <v>20</v>
      </c>
      <c r="BA3" s="3" t="s">
        <v>7</v>
      </c>
      <c r="BB3" s="4" t="s">
        <v>19</v>
      </c>
      <c r="BC3" s="52"/>
      <c r="BD3" s="137"/>
      <c r="BE3" s="4" t="s">
        <v>58</v>
      </c>
      <c r="BF3" s="51"/>
      <c r="BG3" s="164"/>
      <c r="BH3" s="27" t="s">
        <v>46</v>
      </c>
      <c r="BI3" s="27" t="s">
        <v>46</v>
      </c>
      <c r="BJ3" s="27" t="s">
        <v>46</v>
      </c>
      <c r="BK3" s="27" t="s">
        <v>17</v>
      </c>
      <c r="BL3" s="27" t="s">
        <v>17</v>
      </c>
      <c r="BM3" s="27" t="s">
        <v>17</v>
      </c>
      <c r="BO3" s="167"/>
      <c r="BP3" s="27" t="s">
        <v>46</v>
      </c>
      <c r="BQ3" s="27" t="s">
        <v>46</v>
      </c>
      <c r="BR3" s="27" t="s">
        <v>46</v>
      </c>
      <c r="BS3" s="27" t="s">
        <v>46</v>
      </c>
      <c r="BT3" s="27" t="s">
        <v>46</v>
      </c>
      <c r="BU3" s="27" t="s">
        <v>46</v>
      </c>
      <c r="BV3" s="27" t="s">
        <v>46</v>
      </c>
      <c r="BX3" s="168"/>
      <c r="BY3" s="3" t="s">
        <v>7</v>
      </c>
      <c r="BZ3" s="3" t="s">
        <v>7</v>
      </c>
      <c r="CB3" s="150"/>
      <c r="CC3" s="27" t="s">
        <v>46</v>
      </c>
      <c r="CD3" s="27" t="s">
        <v>46</v>
      </c>
      <c r="CE3" s="27" t="s">
        <v>46</v>
      </c>
      <c r="CF3" s="27" t="s">
        <v>46</v>
      </c>
      <c r="CG3" s="3" t="s">
        <v>7</v>
      </c>
      <c r="CH3" s="3" t="s">
        <v>7</v>
      </c>
      <c r="CI3" s="18"/>
      <c r="CJ3" s="6">
        <f>Q!$B$1-5</f>
        <v>2015</v>
      </c>
      <c r="CK3" s="16"/>
      <c r="CM3" s="27" t="s">
        <v>46</v>
      </c>
      <c r="CN3" s="27" t="s">
        <v>76</v>
      </c>
      <c r="CO3" s="27" t="s">
        <v>46</v>
      </c>
      <c r="CP3" s="27" t="s">
        <v>46</v>
      </c>
    </row>
    <row r="4" spans="1:94" ht="21" customHeight="1" x14ac:dyDescent="0.25">
      <c r="A4" s="6">
        <f>Q!$B$1-5</f>
        <v>2015</v>
      </c>
      <c r="B4" s="96">
        <v>43.13</v>
      </c>
      <c r="C4" s="96">
        <v>27.07</v>
      </c>
      <c r="E4" s="6">
        <f>Q!$B$1-5</f>
        <v>2015</v>
      </c>
      <c r="F4" s="101">
        <v>8.9999999999999993E-3</v>
      </c>
      <c r="G4" s="101">
        <v>1.1299999999999999E-2</v>
      </c>
      <c r="H4" s="66">
        <f>SUM(F4:G4)/2</f>
        <v>1.0149999999999999E-2</v>
      </c>
      <c r="I4" s="99"/>
      <c r="J4" s="153" t="s">
        <v>178</v>
      </c>
      <c r="K4" s="6" t="s">
        <v>7</v>
      </c>
      <c r="L4" s="96">
        <v>1</v>
      </c>
      <c r="M4" s="96">
        <v>3</v>
      </c>
      <c r="N4" s="96">
        <v>3</v>
      </c>
      <c r="O4" s="96">
        <v>0</v>
      </c>
      <c r="P4" s="96">
        <v>0</v>
      </c>
      <c r="Q4" s="96">
        <v>0</v>
      </c>
      <c r="R4" s="96">
        <v>1</v>
      </c>
      <c r="S4" s="131"/>
      <c r="U4" s="150"/>
      <c r="V4" s="4" t="s">
        <v>17</v>
      </c>
      <c r="W4" s="4" t="s">
        <v>17</v>
      </c>
      <c r="X4" s="52"/>
      <c r="Y4" s="150"/>
      <c r="Z4" s="3" t="s">
        <v>64</v>
      </c>
      <c r="AA4" s="3" t="s">
        <v>7</v>
      </c>
      <c r="AB4" s="3" t="s">
        <v>17</v>
      </c>
      <c r="AC4" s="3" t="s">
        <v>7</v>
      </c>
      <c r="AD4" s="3" t="s">
        <v>17</v>
      </c>
      <c r="AE4" s="3" t="s">
        <v>7</v>
      </c>
      <c r="AF4" s="3" t="s">
        <v>17</v>
      </c>
      <c r="AG4" s="45"/>
      <c r="AH4" s="6">
        <f>Q!$B$1-5</f>
        <v>2015</v>
      </c>
      <c r="AI4" s="104">
        <v>18</v>
      </c>
      <c r="AJ4" s="104">
        <v>14</v>
      </c>
      <c r="AL4" s="6">
        <f>Q!$B$1-5</f>
        <v>2015</v>
      </c>
      <c r="AM4" s="104">
        <v>53</v>
      </c>
      <c r="AN4" s="104">
        <v>2</v>
      </c>
      <c r="AP4" s="6">
        <f>Q!$B$1-5</f>
        <v>2015</v>
      </c>
      <c r="AQ4" s="104">
        <v>53</v>
      </c>
      <c r="AR4" s="23">
        <f>IF(ISERR((AQ4/('Település Bemutatása - Népesség'!B3-'Település Bemutatása - Népesség'!O3-'Település Bemutatása - Népesség'!P3))*1),"-",(AQ4/('Település Bemutatása - Népesség'!B3-'Település Bemutatása - Népesség'!O3-'Település Bemutatása - Népesség'!P3))*1)</f>
        <v>1.1139134089953762E-2</v>
      </c>
      <c r="AS4" s="104">
        <v>20</v>
      </c>
      <c r="AT4" s="23">
        <f>IF(ISERR((AS4/AQ4)*1),"-",(AS4/AQ4)*1)</f>
        <v>0.37735849056603776</v>
      </c>
      <c r="AU4" s="41"/>
      <c r="AV4" s="6">
        <f>Q!$B$1-5</f>
        <v>2015</v>
      </c>
      <c r="AW4" s="104">
        <v>5</v>
      </c>
      <c r="AX4" s="23">
        <f t="shared" ref="AX4:AX8" si="2">IF(ISERR((AW4/$AQ4)*1),"-",(AW4/$AQ4)*1)</f>
        <v>9.4339622641509441E-2</v>
      </c>
      <c r="AY4" s="104">
        <v>0</v>
      </c>
      <c r="AZ4" s="23">
        <f t="shared" ref="AZ4:AZ8" si="3">IF(ISERR((AY4/$AQ4)*1),"-",(AY4/$AQ4)*1)</f>
        <v>0</v>
      </c>
      <c r="BA4" s="104">
        <v>25</v>
      </c>
      <c r="BB4" s="23">
        <f t="shared" ref="BB4:BB8" si="4">IF(ISERR((BA4/$AQ4)*1),"-",(BA4/$AQ4)*1)</f>
        <v>0.47169811320754718</v>
      </c>
      <c r="BC4" s="53"/>
      <c r="BD4" s="6">
        <f>Q!$B$1-5</f>
        <v>2015</v>
      </c>
      <c r="BE4" s="104">
        <v>0</v>
      </c>
      <c r="BF4" s="51"/>
      <c r="BG4" s="6">
        <f>Q!$B$1-5</f>
        <v>2015</v>
      </c>
      <c r="BH4" s="104">
        <v>2640</v>
      </c>
      <c r="BI4" s="104">
        <v>13</v>
      </c>
      <c r="BJ4" s="104">
        <v>4.92</v>
      </c>
      <c r="BK4" s="101">
        <v>0.192</v>
      </c>
      <c r="BL4" s="101">
        <v>0.74050000000000005</v>
      </c>
      <c r="BM4" s="101">
        <v>0.93830000000000002</v>
      </c>
      <c r="BO4" s="6">
        <f>Q!$B$1-5</f>
        <v>2015</v>
      </c>
      <c r="BP4" s="16">
        <f t="shared" ref="BP4:BP8" si="5">BH4</f>
        <v>2640</v>
      </c>
      <c r="BQ4" s="32"/>
      <c r="BR4" s="32">
        <v>30</v>
      </c>
      <c r="BS4" s="32"/>
      <c r="BT4" s="32"/>
      <c r="BU4" s="32"/>
      <c r="BV4" s="32"/>
      <c r="BX4" s="6">
        <f>Q!$B$1-5</f>
        <v>2015</v>
      </c>
      <c r="BY4" s="104">
        <v>0</v>
      </c>
      <c r="BZ4" s="104" t="str">
        <f>_xlfn.IFNA(IF(ISBLANK(HLOOKUP($AV4,Q!$B$11:$R$144,(MATCH("137" &amp; "*",Q!$A$12:$A$144,FALSE)+1))),Q!$B$2,HLOOKUP($AV4,Q!$B$11:$R$144,(MATCH("137"&amp;"*",Q!$A$12:$A$144,FALSE)+1))),Q!$B$2)</f>
        <v>n.a.</v>
      </c>
      <c r="CB4" s="6">
        <f>Q!$B$1-5</f>
        <v>2015</v>
      </c>
      <c r="CC4" s="104">
        <v>0</v>
      </c>
      <c r="CD4" s="104">
        <v>3</v>
      </c>
      <c r="CE4" s="104">
        <v>2</v>
      </c>
      <c r="CF4" s="104">
        <v>2</v>
      </c>
      <c r="CG4" s="104">
        <v>79</v>
      </c>
      <c r="CH4" s="104" t="str">
        <f>_xlfn.IFNA(IF(ISBLANK(HLOOKUP($AV4,Q!$B$11:$R$144,(MATCH("135" &amp; "*",Q!$A$12:$A$144,FALSE)+1))),Q!$B$2,HLOOKUP($AV4,Q!$B$11:$R$144,(MATCH("135"&amp;"*",Q!$A$12:$A$144,FALSE)+1))),Q!$B$2)</f>
        <v>n.a.</v>
      </c>
      <c r="CI4" s="18"/>
      <c r="CJ4" s="6">
        <f>Q!$B$1-4</f>
        <v>2016</v>
      </c>
      <c r="CK4" s="16"/>
      <c r="CM4" s="48">
        <v>4</v>
      </c>
      <c r="CN4" s="48">
        <v>1</v>
      </c>
      <c r="CO4" s="126">
        <v>19805</v>
      </c>
      <c r="CP4" s="48">
        <v>1</v>
      </c>
    </row>
    <row r="5" spans="1:94" ht="15" customHeight="1" x14ac:dyDescent="0.25">
      <c r="A5" s="6">
        <f>Q!$B$1-4</f>
        <v>2016</v>
      </c>
      <c r="B5" s="96">
        <v>46.63</v>
      </c>
      <c r="C5" s="96">
        <v>28.86</v>
      </c>
      <c r="E5" s="6">
        <f>Q!$B$1-4</f>
        <v>2016</v>
      </c>
      <c r="F5" s="101">
        <v>6.7000000000000002E-3</v>
      </c>
      <c r="G5" s="101">
        <v>8.9999999999999993E-3</v>
      </c>
      <c r="H5" s="66">
        <f t="shared" ref="H5:H10" si="6">SUM(F5:G5)/2</f>
        <v>7.8499999999999993E-3</v>
      </c>
      <c r="I5" s="100"/>
      <c r="J5" s="154"/>
      <c r="K5" s="6" t="s">
        <v>17</v>
      </c>
      <c r="L5" s="43">
        <f t="shared" ref="L5:P5" si="7">IF(ISERR((L4/L$3)),"-",(L4/L$3))</f>
        <v>1.8867924528301886E-2</v>
      </c>
      <c r="M5" s="43">
        <f t="shared" si="7"/>
        <v>7.3170731707317069E-2</v>
      </c>
      <c r="N5" s="43">
        <f t="shared" si="7"/>
        <v>5.1724137931034482E-2</v>
      </c>
      <c r="O5" s="43">
        <f t="shared" si="7"/>
        <v>0</v>
      </c>
      <c r="P5" s="43">
        <f t="shared" si="7"/>
        <v>0</v>
      </c>
      <c r="Q5" s="43">
        <f>IF(ISERR((Q4/Q$3)),"-",(Q4/Q$3))</f>
        <v>0</v>
      </c>
      <c r="R5" s="43">
        <f>IF(ISERR((R4/R$3)),"-",(R4/R$3))</f>
        <v>2.564102564102564E-2</v>
      </c>
      <c r="S5" s="132"/>
      <c r="U5" s="6">
        <f>Q!$B$1-5</f>
        <v>2015</v>
      </c>
      <c r="V5" s="101">
        <v>0.54720000000000002</v>
      </c>
      <c r="W5" s="101">
        <v>0.62070000000000003</v>
      </c>
      <c r="X5" s="102"/>
      <c r="Y5" s="6">
        <f>Q!$B$1-5</f>
        <v>2015</v>
      </c>
      <c r="Z5" s="104">
        <v>53</v>
      </c>
      <c r="AA5" s="104">
        <v>0</v>
      </c>
      <c r="AB5" s="23">
        <f>IF(ISERR((AA5/Z5)*1),"-",(AA5/Z5)*1)</f>
        <v>0</v>
      </c>
      <c r="AC5" s="104">
        <v>3</v>
      </c>
      <c r="AD5" s="23">
        <f>IF(ISERR((AC5/Z5)*1),"-",(AC5/Z5)*1)</f>
        <v>5.6603773584905662E-2</v>
      </c>
      <c r="AE5" s="29">
        <f>IFERROR(Z5-(AA5+AC5),"-")</f>
        <v>50</v>
      </c>
      <c r="AF5" s="23">
        <f>IF(ISERR((AE5/Z5)*1),"-",(AE5/Z5)*1)</f>
        <v>0.94339622641509435</v>
      </c>
      <c r="AG5" s="46"/>
      <c r="AH5" s="6">
        <f>Q!$B$1-4</f>
        <v>2016</v>
      </c>
      <c r="AI5" s="104">
        <v>1</v>
      </c>
      <c r="AJ5" s="104">
        <v>16</v>
      </c>
      <c r="AL5" s="6">
        <f>Q!$B$1-4</f>
        <v>2016</v>
      </c>
      <c r="AM5" s="104">
        <v>41</v>
      </c>
      <c r="AN5" s="104">
        <v>5</v>
      </c>
      <c r="AP5" s="6">
        <f>Q!$B$1-4</f>
        <v>2016</v>
      </c>
      <c r="AQ5" s="104">
        <v>41</v>
      </c>
      <c r="AR5" s="23">
        <f>IF(ISERR((AQ5/('Település Bemutatása - Népesség'!B4-'Település Bemutatása - Népesség'!O4-'Település Bemutatása - Népesség'!P4))*1),"-",(AQ5/('Település Bemutatása - Népesség'!B4-'Település Bemutatása - Népesség'!O4-'Település Bemutatása - Népesség'!P4))*1)</f>
        <v>8.4327437268613744E-3</v>
      </c>
      <c r="AS5" s="104">
        <v>10</v>
      </c>
      <c r="AT5" s="23">
        <f t="shared" ref="AT5:AT10" si="8">IF(ISERR((AS5/AQ5)*1),"-",(AS5/AQ5)*1)</f>
        <v>0.24390243902439024</v>
      </c>
      <c r="AU5" s="41"/>
      <c r="AV5" s="6">
        <f>Q!$B$1-4</f>
        <v>2016</v>
      </c>
      <c r="AW5" s="104">
        <v>5</v>
      </c>
      <c r="AX5" s="23">
        <f t="shared" si="2"/>
        <v>0.12195121951219512</v>
      </c>
      <c r="AY5" s="104">
        <v>0</v>
      </c>
      <c r="AZ5" s="23">
        <f t="shared" si="3"/>
        <v>0</v>
      </c>
      <c r="BA5" s="104">
        <v>15</v>
      </c>
      <c r="BB5" s="23">
        <f t="shared" si="4"/>
        <v>0.36585365853658536</v>
      </c>
      <c r="BC5" s="53"/>
      <c r="BD5" s="6">
        <f>Q!$B$1-4</f>
        <v>2016</v>
      </c>
      <c r="BE5" s="104">
        <v>0</v>
      </c>
      <c r="BF5" s="51"/>
      <c r="BG5" s="6">
        <f>Q!$B$1-4</f>
        <v>2016</v>
      </c>
      <c r="BH5" s="104">
        <v>2679</v>
      </c>
      <c r="BI5" s="104">
        <v>39</v>
      </c>
      <c r="BJ5" s="104">
        <v>14.56</v>
      </c>
      <c r="BK5" s="101">
        <v>0.18959999999999999</v>
      </c>
      <c r="BL5" s="101">
        <v>0.82420000000000004</v>
      </c>
      <c r="BM5" s="101">
        <v>0.96120000000000005</v>
      </c>
      <c r="BO5" s="6">
        <f>Q!$B$1-4</f>
        <v>2016</v>
      </c>
      <c r="BP5" s="16">
        <f t="shared" si="5"/>
        <v>2679</v>
      </c>
      <c r="BQ5" s="32"/>
      <c r="BR5" s="32">
        <v>12</v>
      </c>
      <c r="BS5" s="32"/>
      <c r="BT5" s="32"/>
      <c r="BU5" s="32"/>
      <c r="BV5" s="32"/>
      <c r="BX5" s="6">
        <f>Q!$B$1-4</f>
        <v>2016</v>
      </c>
      <c r="BY5" s="104">
        <v>0</v>
      </c>
      <c r="BZ5" s="104" t="str">
        <f>_xlfn.IFNA(IF(ISBLANK(HLOOKUP($AV5,Q!$B$11:$R$144,(MATCH("137" &amp; "*",Q!$A$12:$A$144,FALSE)+1))),Q!$B$2,HLOOKUP($AV5,Q!$B$11:$R$144,(MATCH("137"&amp;"*",Q!$A$12:$A$144,FALSE)+1))),Q!$B$2)</f>
        <v>n.a.</v>
      </c>
      <c r="CB5" s="6">
        <f>Q!$B$1-4</f>
        <v>2016</v>
      </c>
      <c r="CC5" s="104">
        <v>0</v>
      </c>
      <c r="CD5" s="104">
        <v>3</v>
      </c>
      <c r="CE5" s="104">
        <v>2</v>
      </c>
      <c r="CF5" s="104">
        <v>2</v>
      </c>
      <c r="CG5" s="104">
        <v>69</v>
      </c>
      <c r="CH5" s="104" t="str">
        <f>_xlfn.IFNA(IF(ISBLANK(HLOOKUP($AV5,Q!$B$11:$R$144,(MATCH("135" &amp; "*",Q!$A$12:$A$144,FALSE)+1))),Q!$B$2,HLOOKUP($AV5,Q!$B$11:$R$144,(MATCH("135"&amp;"*",Q!$A$12:$A$144,FALSE)+1))),Q!$B$2)</f>
        <v>n.a.</v>
      </c>
      <c r="CI5" s="18"/>
      <c r="CJ5" s="6">
        <f>Q!$B$1-3</f>
        <v>2017</v>
      </c>
      <c r="CK5" s="16"/>
      <c r="CM5" s="1" t="s">
        <v>28</v>
      </c>
    </row>
    <row r="6" spans="1:94" x14ac:dyDescent="0.25">
      <c r="A6" s="6">
        <f>Q!$B$1-3</f>
        <v>2017</v>
      </c>
      <c r="B6" s="96">
        <v>46.28</v>
      </c>
      <c r="C6" s="96">
        <v>27.46</v>
      </c>
      <c r="E6" s="6">
        <f>Q!$B$1-3</f>
        <v>2017</v>
      </c>
      <c r="F6" s="101">
        <v>9.5999999999999992E-3</v>
      </c>
      <c r="G6" s="101">
        <v>1.21E-2</v>
      </c>
      <c r="H6" s="66">
        <f t="shared" si="6"/>
        <v>1.0849999999999999E-2</v>
      </c>
      <c r="I6" s="100"/>
      <c r="J6" s="152" t="s">
        <v>179</v>
      </c>
      <c r="K6" s="31" t="s">
        <v>7</v>
      </c>
      <c r="L6" s="96" t="str">
        <f>_xlfn.IFNA(IF(ISBLANK(HLOOKUP(L$2,Q!$B$11:$R$144,(MATCH("038" &amp; "*",Q!$A$12:$A$144,FALSE)+1))),Q!$B$2,HLOOKUP(L$2,Q!$B$11:$R$144,(MATCH("038"&amp;"*",Q!$A$12:$A$144,FALSE)+1))),Q!$B$2)</f>
        <v>n.a.</v>
      </c>
      <c r="M6" s="96">
        <v>3</v>
      </c>
      <c r="N6" s="96">
        <v>5</v>
      </c>
      <c r="O6" s="96">
        <v>3</v>
      </c>
      <c r="P6" s="96">
        <v>1</v>
      </c>
      <c r="Q6" s="96">
        <v>5</v>
      </c>
      <c r="R6" s="96">
        <v>0</v>
      </c>
      <c r="S6" s="131"/>
      <c r="U6" s="6">
        <f>Q!$B$1-4</f>
        <v>2016</v>
      </c>
      <c r="V6" s="101">
        <v>0.58540000000000003</v>
      </c>
      <c r="W6" s="101">
        <v>0.54169999999999996</v>
      </c>
      <c r="X6" s="102"/>
      <c r="Y6" s="6">
        <f>Q!$B$1-4</f>
        <v>2016</v>
      </c>
      <c r="Z6" s="104">
        <v>41</v>
      </c>
      <c r="AA6" s="104">
        <v>0</v>
      </c>
      <c r="AB6" s="23">
        <f t="shared" ref="AB6:AB11" si="9">IF(ISERR((AA6/Z6)*1),"-",(AA6/Z6)*1)</f>
        <v>0</v>
      </c>
      <c r="AC6" s="104">
        <v>1</v>
      </c>
      <c r="AD6" s="23">
        <f t="shared" ref="AD6:AD11" si="10">IF(ISERR((AC6/Z6)*1),"-",(AC6/Z6)*1)</f>
        <v>2.4390243902439025E-2</v>
      </c>
      <c r="AE6" s="29">
        <f t="shared" ref="AE6:AE11" si="11">IFERROR(Z6-(AA6+AC6),"-")</f>
        <v>40</v>
      </c>
      <c r="AF6" s="23">
        <f t="shared" ref="AF6:AF9" si="12">IF(ISERR((AE6/Z6)*1),"-",(AE6/Z6)*1)</f>
        <v>0.97560975609756095</v>
      </c>
      <c r="AG6" s="45"/>
      <c r="AH6" s="6">
        <f>Q!$B$1-3</f>
        <v>2017</v>
      </c>
      <c r="AI6" s="104">
        <v>9</v>
      </c>
      <c r="AJ6" s="104">
        <v>6</v>
      </c>
      <c r="AL6" s="6">
        <f>Q!$B$1-3</f>
        <v>2017</v>
      </c>
      <c r="AM6" s="104">
        <v>58</v>
      </c>
      <c r="AN6" s="104">
        <v>7</v>
      </c>
      <c r="AP6" s="6">
        <f>Q!$B$1-3</f>
        <v>2017</v>
      </c>
      <c r="AQ6" s="104">
        <v>58</v>
      </c>
      <c r="AR6" s="23">
        <f>IF(ISERR((AQ6/('Település Bemutatása - Népesség'!B5-'Település Bemutatása - Népesség'!O5-'Település Bemutatása - Népesség'!P5))*1),"-",(AQ6/('Település Bemutatása - Népesség'!B5-'Település Bemutatása - Népesség'!O5-'Település Bemutatása - Népesség'!P5))*1)</f>
        <v>1.1602320464092819E-2</v>
      </c>
      <c r="AS6" s="104">
        <v>23</v>
      </c>
      <c r="AT6" s="23">
        <f t="shared" si="8"/>
        <v>0.39655172413793105</v>
      </c>
      <c r="AU6" s="41"/>
      <c r="AV6" s="6">
        <f>Q!$B$1-3</f>
        <v>2017</v>
      </c>
      <c r="AW6" s="104">
        <v>4</v>
      </c>
      <c r="AX6" s="23">
        <f t="shared" si="2"/>
        <v>6.8965517241379309E-2</v>
      </c>
      <c r="AY6" s="104">
        <v>3.01</v>
      </c>
      <c r="AZ6" s="23">
        <f t="shared" si="3"/>
        <v>5.1896551724137929E-2</v>
      </c>
      <c r="BA6" s="104">
        <v>27</v>
      </c>
      <c r="BB6" s="23">
        <f t="shared" si="4"/>
        <v>0.46551724137931033</v>
      </c>
      <c r="BC6" s="53"/>
      <c r="BD6" s="6">
        <f>Q!$B$1-3</f>
        <v>2017</v>
      </c>
      <c r="BE6" s="104">
        <v>2.65</v>
      </c>
      <c r="BF6" s="51"/>
      <c r="BG6" s="6">
        <f>Q!$B$1-3</f>
        <v>2017</v>
      </c>
      <c r="BH6" s="104">
        <v>2724</v>
      </c>
      <c r="BI6" s="104">
        <v>45</v>
      </c>
      <c r="BJ6" s="104">
        <v>16.53</v>
      </c>
      <c r="BK6" s="101">
        <v>0.18759999999999999</v>
      </c>
      <c r="BL6" s="101">
        <v>0.89900000000000002</v>
      </c>
      <c r="BM6" s="101">
        <v>0.9919</v>
      </c>
      <c r="BO6" s="6">
        <f>Q!$B$1-3</f>
        <v>2017</v>
      </c>
      <c r="BP6" s="16">
        <f t="shared" si="5"/>
        <v>2724</v>
      </c>
      <c r="BQ6" s="32"/>
      <c r="BR6" s="32">
        <v>2</v>
      </c>
      <c r="BS6" s="32"/>
      <c r="BT6" s="32"/>
      <c r="BU6" s="32"/>
      <c r="BV6" s="32"/>
      <c r="BX6" s="6">
        <f>Q!$B$1-3</f>
        <v>2017</v>
      </c>
      <c r="BY6" s="104">
        <v>291</v>
      </c>
      <c r="BZ6" s="104">
        <v>11</v>
      </c>
      <c r="CB6" s="6">
        <f>Q!$B$1-3</f>
        <v>2017</v>
      </c>
      <c r="CC6" s="104">
        <v>0</v>
      </c>
      <c r="CD6" s="104">
        <v>3</v>
      </c>
      <c r="CE6" s="104">
        <v>2</v>
      </c>
      <c r="CF6" s="104">
        <v>2</v>
      </c>
      <c r="CG6" s="104">
        <v>68</v>
      </c>
      <c r="CH6" s="104">
        <v>17.97</v>
      </c>
      <c r="CI6" s="18"/>
      <c r="CJ6" s="6">
        <f>Q!$B$1-2</f>
        <v>2018</v>
      </c>
      <c r="CK6" s="16"/>
    </row>
    <row r="7" spans="1:94" x14ac:dyDescent="0.25">
      <c r="A7" s="6">
        <f>Q!$B$1-2</f>
        <v>2018</v>
      </c>
      <c r="B7" s="96">
        <v>45.55</v>
      </c>
      <c r="C7" s="96">
        <v>23.61</v>
      </c>
      <c r="E7" s="6">
        <f>Q!$B$1-2</f>
        <v>2018</v>
      </c>
      <c r="F7" s="101">
        <v>6.0000000000000001E-3</v>
      </c>
      <c r="G7" s="101">
        <v>1.23E-2</v>
      </c>
      <c r="H7" s="66">
        <f t="shared" si="6"/>
        <v>9.1500000000000001E-3</v>
      </c>
      <c r="I7" s="100"/>
      <c r="J7" s="152"/>
      <c r="K7" s="31" t="s">
        <v>17</v>
      </c>
      <c r="L7" s="43" t="str">
        <f t="shared" ref="L7:P7" si="13">IF(ISERR((L6/L$3)),"-",(L6/L$3))</f>
        <v>-</v>
      </c>
      <c r="M7" s="43">
        <f t="shared" si="13"/>
        <v>7.3170731707317069E-2</v>
      </c>
      <c r="N7" s="43">
        <f t="shared" si="13"/>
        <v>8.6206896551724144E-2</v>
      </c>
      <c r="O7" s="43">
        <f t="shared" si="13"/>
        <v>0.06</v>
      </c>
      <c r="P7" s="43">
        <f t="shared" si="13"/>
        <v>2.3255813953488372E-2</v>
      </c>
      <c r="Q7" s="43">
        <f>IF(ISERR((Q6/Q$3)),"-",(Q6/Q$3))</f>
        <v>7.6923076923076927E-2</v>
      </c>
      <c r="R7" s="43">
        <f>IF(ISERR((R6/R$3)),"-",(R6/R$3))</f>
        <v>0</v>
      </c>
      <c r="S7" s="132"/>
      <c r="U7" s="6">
        <f>Q!$B$1-3</f>
        <v>2017</v>
      </c>
      <c r="V7" s="101">
        <v>0.55169999999999997</v>
      </c>
      <c r="W7" s="101">
        <v>0.59379999999999999</v>
      </c>
      <c r="X7" s="102"/>
      <c r="Y7" s="6">
        <f>Q!$B$1-3</f>
        <v>2017</v>
      </c>
      <c r="Z7" s="104">
        <v>58</v>
      </c>
      <c r="AA7" s="104">
        <v>1</v>
      </c>
      <c r="AB7" s="23">
        <f t="shared" si="9"/>
        <v>1.7241379310344827E-2</v>
      </c>
      <c r="AC7" s="104">
        <v>3</v>
      </c>
      <c r="AD7" s="23">
        <f t="shared" si="10"/>
        <v>5.1724137931034482E-2</v>
      </c>
      <c r="AE7" s="29">
        <f t="shared" si="11"/>
        <v>54</v>
      </c>
      <c r="AF7" s="23">
        <f t="shared" si="12"/>
        <v>0.93103448275862066</v>
      </c>
      <c r="AG7" s="45"/>
      <c r="AH7" s="6">
        <f>Q!$B$1-2</f>
        <v>2018</v>
      </c>
      <c r="AI7" s="104">
        <v>6</v>
      </c>
      <c r="AJ7" s="104">
        <v>4</v>
      </c>
      <c r="AL7" s="6">
        <f>Q!$B$1-2</f>
        <v>2018</v>
      </c>
      <c r="AM7" s="104">
        <v>50</v>
      </c>
      <c r="AN7" s="104">
        <v>2</v>
      </c>
      <c r="AP7" s="6">
        <f>Q!$B$1-2</f>
        <v>2018</v>
      </c>
      <c r="AQ7" s="104">
        <v>50</v>
      </c>
      <c r="AR7" s="23">
        <f>IF(ISERR((AQ7/('Település Bemutatása - Népesség'!B6-'Település Bemutatása - Népesség'!O6-'Település Bemutatása - Népesség'!P6))*1),"-",(AQ7/('Település Bemutatása - Népesség'!B6-'Település Bemutatása - Népesség'!O6-'Település Bemutatása - Népesség'!P6))*1)</f>
        <v>9.7012029491656965E-3</v>
      </c>
      <c r="AS7" s="104">
        <v>24</v>
      </c>
      <c r="AT7" s="23">
        <f t="shared" si="8"/>
        <v>0.48</v>
      </c>
      <c r="AU7" s="41"/>
      <c r="AV7" s="6">
        <f>Q!$B$1-2</f>
        <v>2018</v>
      </c>
      <c r="AW7" s="104">
        <v>4</v>
      </c>
      <c r="AX7" s="23">
        <f t="shared" si="2"/>
        <v>0.08</v>
      </c>
      <c r="AY7" s="104">
        <v>2.12</v>
      </c>
      <c r="AZ7" s="23">
        <f t="shared" si="3"/>
        <v>4.24E-2</v>
      </c>
      <c r="BA7" s="104">
        <v>28</v>
      </c>
      <c r="BB7" s="23">
        <f t="shared" si="4"/>
        <v>0.56000000000000005</v>
      </c>
      <c r="BC7" s="53"/>
      <c r="BD7" s="6">
        <f>Q!$B$1-2</f>
        <v>2018</v>
      </c>
      <c r="BE7" s="104">
        <v>2</v>
      </c>
      <c r="BF7" s="51"/>
      <c r="BG7" s="6">
        <f>Q!$B$1-2</f>
        <v>2018</v>
      </c>
      <c r="BH7" s="104">
        <v>2777</v>
      </c>
      <c r="BI7" s="104">
        <v>53</v>
      </c>
      <c r="BJ7" s="104">
        <v>19.09</v>
      </c>
      <c r="BK7" s="101">
        <v>0.18690000000000001</v>
      </c>
      <c r="BL7" s="101">
        <v>0.90059999999999996</v>
      </c>
      <c r="BM7" s="101">
        <v>0.99209999999999998</v>
      </c>
      <c r="BO7" s="6">
        <f>Q!$B$1-2</f>
        <v>2018</v>
      </c>
      <c r="BP7" s="16">
        <f t="shared" si="5"/>
        <v>2777</v>
      </c>
      <c r="BQ7" s="32"/>
      <c r="BR7" s="32">
        <v>2</v>
      </c>
      <c r="BS7" s="32"/>
      <c r="BT7" s="32"/>
      <c r="BU7" s="32"/>
      <c r="BV7" s="32"/>
      <c r="BX7" s="6">
        <f>Q!$B$1-2</f>
        <v>2018</v>
      </c>
      <c r="BY7" s="104">
        <v>259</v>
      </c>
      <c r="BZ7" s="104">
        <v>7</v>
      </c>
      <c r="CB7" s="6">
        <f>Q!$B$1-2</f>
        <v>2018</v>
      </c>
      <c r="CC7" s="104">
        <v>0</v>
      </c>
      <c r="CD7" s="104">
        <v>3</v>
      </c>
      <c r="CE7" s="104">
        <v>2</v>
      </c>
      <c r="CF7" s="104">
        <v>2</v>
      </c>
      <c r="CG7" s="104">
        <v>67</v>
      </c>
      <c r="CH7" s="104">
        <v>17.170000000000002</v>
      </c>
      <c r="CI7" s="18"/>
      <c r="CJ7" s="6">
        <f>Q!$B$1-1</f>
        <v>2019</v>
      </c>
      <c r="CK7" s="16"/>
    </row>
    <row r="8" spans="1:94" x14ac:dyDescent="0.25">
      <c r="A8" s="6">
        <f>Q!$B$1-1</f>
        <v>2019</v>
      </c>
      <c r="B8" s="96">
        <v>45.61</v>
      </c>
      <c r="C8" s="96">
        <v>22.25</v>
      </c>
      <c r="E8" s="6">
        <f>Q!$B$1-1</f>
        <v>2019</v>
      </c>
      <c r="F8" s="101">
        <v>6.7000000000000002E-3</v>
      </c>
      <c r="G8" s="101">
        <v>8.9999999999999993E-3</v>
      </c>
      <c r="H8" s="66">
        <f t="shared" si="6"/>
        <v>7.8499999999999993E-3</v>
      </c>
      <c r="I8" s="100"/>
      <c r="J8" s="152" t="s">
        <v>180</v>
      </c>
      <c r="K8" s="31" t="s">
        <v>7</v>
      </c>
      <c r="L8" s="96">
        <v>4</v>
      </c>
      <c r="M8" s="96">
        <v>1</v>
      </c>
      <c r="N8" s="96">
        <v>3</v>
      </c>
      <c r="O8" s="96">
        <v>2</v>
      </c>
      <c r="P8" s="96">
        <v>4</v>
      </c>
      <c r="Q8" s="96">
        <v>5</v>
      </c>
      <c r="R8" s="96">
        <v>2</v>
      </c>
      <c r="S8" s="131"/>
      <c r="U8" s="6">
        <f>Q!$B$1-2</f>
        <v>2018</v>
      </c>
      <c r="V8" s="101">
        <v>0.54</v>
      </c>
      <c r="W8" s="101">
        <v>0.70369999999999999</v>
      </c>
      <c r="X8" s="102"/>
      <c r="Y8" s="6">
        <f>Q!$B$1-2</f>
        <v>2018</v>
      </c>
      <c r="Z8" s="104">
        <v>50</v>
      </c>
      <c r="AA8" s="104">
        <v>0</v>
      </c>
      <c r="AB8" s="23">
        <f t="shared" si="9"/>
        <v>0</v>
      </c>
      <c r="AC8" s="104">
        <v>3</v>
      </c>
      <c r="AD8" s="23">
        <f t="shared" si="10"/>
        <v>0.06</v>
      </c>
      <c r="AE8" s="29">
        <f t="shared" si="11"/>
        <v>47</v>
      </c>
      <c r="AF8" s="23">
        <f t="shared" si="12"/>
        <v>0.94</v>
      </c>
      <c r="AG8" s="45"/>
      <c r="AH8" s="6">
        <f>Q!$B$1-1</f>
        <v>2019</v>
      </c>
      <c r="AI8" s="104">
        <v>9</v>
      </c>
      <c r="AJ8" s="104">
        <v>3</v>
      </c>
      <c r="AL8" s="6">
        <f>Q!$B$1-1</f>
        <v>2019</v>
      </c>
      <c r="AM8" s="104">
        <v>43</v>
      </c>
      <c r="AN8" s="104">
        <v>2</v>
      </c>
      <c r="AP8" s="6">
        <f>Q!$B$1-1</f>
        <v>2019</v>
      </c>
      <c r="AQ8" s="104">
        <v>43</v>
      </c>
      <c r="AR8" s="23">
        <f>IF(ISERR((AQ8/('Település Bemutatása - Népesség'!B7-'Település Bemutatása - Népesség'!O7-'Település Bemutatása - Népesség'!P7))*1),"-",(AQ8/('Település Bemutatása - Népesség'!B7-'Település Bemutatása - Népesség'!O7-'Település Bemutatása - Népesség'!P7))*1)</f>
        <v>8.2883577486507331E-3</v>
      </c>
      <c r="AS8" s="104">
        <v>18</v>
      </c>
      <c r="AT8" s="23">
        <f t="shared" si="8"/>
        <v>0.41860465116279072</v>
      </c>
      <c r="AU8" s="41"/>
      <c r="AV8" s="6">
        <f>Q!$B$1-1</f>
        <v>2019</v>
      </c>
      <c r="AW8" s="104">
        <v>2</v>
      </c>
      <c r="AX8" s="23">
        <f t="shared" si="2"/>
        <v>4.6511627906976744E-2</v>
      </c>
      <c r="AY8" s="104">
        <v>2.16</v>
      </c>
      <c r="AZ8" s="23">
        <f t="shared" si="3"/>
        <v>5.0232558139534887E-2</v>
      </c>
      <c r="BA8" s="104">
        <v>20</v>
      </c>
      <c r="BB8" s="23">
        <f t="shared" si="4"/>
        <v>0.46511627906976744</v>
      </c>
      <c r="BC8" s="53"/>
      <c r="BD8" s="6">
        <f>Q!$B$1-1</f>
        <v>2019</v>
      </c>
      <c r="BE8" s="104">
        <v>1.25</v>
      </c>
      <c r="BF8" s="51"/>
      <c r="BG8" s="6">
        <f>Q!$B$1-1</f>
        <v>2019</v>
      </c>
      <c r="BH8" s="104">
        <v>2813</v>
      </c>
      <c r="BI8" s="104">
        <v>36</v>
      </c>
      <c r="BJ8" s="104">
        <v>12.8</v>
      </c>
      <c r="BK8" s="101">
        <v>0.1845</v>
      </c>
      <c r="BL8" s="101">
        <v>0.9083</v>
      </c>
      <c r="BM8" s="101">
        <v>0.99750000000000005</v>
      </c>
      <c r="BO8" s="6">
        <f>Q!$B$1-1</f>
        <v>2019</v>
      </c>
      <c r="BP8" s="16">
        <f t="shared" si="5"/>
        <v>2813</v>
      </c>
      <c r="BQ8" s="32"/>
      <c r="BR8" s="32">
        <v>2</v>
      </c>
      <c r="BS8" s="32"/>
      <c r="BT8" s="32"/>
      <c r="BU8" s="32"/>
      <c r="BV8" s="32"/>
      <c r="BX8" s="6">
        <f>Q!$B$1-1</f>
        <v>2019</v>
      </c>
      <c r="BY8" s="104">
        <v>278</v>
      </c>
      <c r="BZ8" s="104">
        <v>6</v>
      </c>
      <c r="CB8" s="6">
        <f>Q!$B$1-1</f>
        <v>2019</v>
      </c>
      <c r="CC8" s="104">
        <v>0</v>
      </c>
      <c r="CD8" s="104">
        <v>4</v>
      </c>
      <c r="CE8" s="104">
        <v>2</v>
      </c>
      <c r="CF8" s="104">
        <v>2</v>
      </c>
      <c r="CG8" s="104">
        <v>69</v>
      </c>
      <c r="CH8" s="104">
        <v>7.64</v>
      </c>
      <c r="CI8" s="18"/>
      <c r="CJ8" s="6">
        <f>Q!$B$1</f>
        <v>2020</v>
      </c>
      <c r="CK8" s="16"/>
    </row>
    <row r="9" spans="1:94" x14ac:dyDescent="0.25">
      <c r="A9" s="6">
        <f>Q!$B$1</f>
        <v>2020</v>
      </c>
      <c r="B9" s="96">
        <v>46.4</v>
      </c>
      <c r="C9" s="96">
        <v>22.1</v>
      </c>
      <c r="E9" s="6">
        <f>Q!$B$1</f>
        <v>2020</v>
      </c>
      <c r="F9" s="101">
        <v>1.0999999999999999E-2</v>
      </c>
      <c r="G9" s="101">
        <v>1.23E-2</v>
      </c>
      <c r="H9" s="66">
        <f t="shared" ref="H9" si="14">SUM(F9:G9)/2</f>
        <v>1.1650000000000001E-2</v>
      </c>
      <c r="I9" s="100"/>
      <c r="J9" s="152"/>
      <c r="K9" s="31" t="s">
        <v>17</v>
      </c>
      <c r="L9" s="43">
        <f t="shared" ref="L9:P9" si="15">IF(ISERR((L8/L$3)),"-",(L8/L$3))</f>
        <v>7.5471698113207544E-2</v>
      </c>
      <c r="M9" s="43">
        <f t="shared" si="15"/>
        <v>2.4390243902439025E-2</v>
      </c>
      <c r="N9" s="43">
        <f t="shared" si="15"/>
        <v>5.1724137931034482E-2</v>
      </c>
      <c r="O9" s="43">
        <f t="shared" si="15"/>
        <v>0.04</v>
      </c>
      <c r="P9" s="43">
        <f t="shared" si="15"/>
        <v>9.3023255813953487E-2</v>
      </c>
      <c r="Q9" s="43">
        <f>IF(ISERR((Q8/Q$3)),"-",(Q8/Q$3))</f>
        <v>7.6923076923076927E-2</v>
      </c>
      <c r="R9" s="43">
        <f>IF(ISERR((R8/R$3)),"-",(R8/R$3))</f>
        <v>5.128205128205128E-2</v>
      </c>
      <c r="S9" s="132"/>
      <c r="U9" s="6">
        <f>Q!$B$1-1</f>
        <v>2019</v>
      </c>
      <c r="V9" s="101">
        <v>0.39529999999999998</v>
      </c>
      <c r="W9" s="101">
        <v>0.52939999999999998</v>
      </c>
      <c r="X9" s="102"/>
      <c r="Y9" s="6">
        <f>Q!$B$1-1</f>
        <v>2019</v>
      </c>
      <c r="Z9" s="104">
        <v>43</v>
      </c>
      <c r="AA9" s="104">
        <v>0</v>
      </c>
      <c r="AB9" s="23">
        <f t="shared" si="9"/>
        <v>0</v>
      </c>
      <c r="AC9" s="104">
        <v>3</v>
      </c>
      <c r="AD9" s="23">
        <f t="shared" si="10"/>
        <v>6.9767441860465115E-2</v>
      </c>
      <c r="AE9" s="29">
        <f t="shared" si="11"/>
        <v>40</v>
      </c>
      <c r="AF9" s="23">
        <f t="shared" si="12"/>
        <v>0.93023255813953487</v>
      </c>
      <c r="AG9" s="45"/>
      <c r="AH9" s="6">
        <f>Q!$B$1</f>
        <v>2020</v>
      </c>
      <c r="AI9" s="104">
        <v>86</v>
      </c>
      <c r="AJ9" s="104">
        <v>1</v>
      </c>
      <c r="AL9" s="6">
        <f>Q!$B$1</f>
        <v>2020</v>
      </c>
      <c r="AM9" s="104">
        <v>65</v>
      </c>
      <c r="AN9" s="104">
        <v>4</v>
      </c>
      <c r="AP9" s="6">
        <f>Q!$B$1</f>
        <v>2020</v>
      </c>
      <c r="AQ9" s="104">
        <v>65</v>
      </c>
      <c r="AR9" s="23">
        <f>IF(ISERR((AQ9/('Település Bemutatása - Népesség'!B9-'Település Bemutatása - Népesség'!O9-'Település Bemutatása - Népesség'!P9))*1),"-",(AQ9/('Település Bemutatása - Népesség'!B9-'Település Bemutatása - Népesség'!O9-'Település Bemutatása - Népesség'!P9))*1)</f>
        <v>1.1514614703277236E-2</v>
      </c>
      <c r="AS9" s="104">
        <v>31</v>
      </c>
      <c r="AT9" s="23">
        <f t="shared" ref="AT9" si="16">IF(ISERR((AS9/AQ9)*1),"-",(AS9/AQ9)*1)</f>
        <v>0.47692307692307695</v>
      </c>
      <c r="AU9" s="41"/>
      <c r="AV9" s="6">
        <f>Q!$B$1</f>
        <v>2020</v>
      </c>
      <c r="AW9" s="104">
        <v>3</v>
      </c>
      <c r="AX9" s="23">
        <f>IF(ISERR((AW9/$AQ9)*1),"-",(AW9/$AQ9)*1)</f>
        <v>4.6153846153846156E-2</v>
      </c>
      <c r="AY9" s="104">
        <v>1.75</v>
      </c>
      <c r="AZ9" s="23">
        <f>IF(ISERR((AY9/$AQ9)*1),"-",(AY9/$AQ9)*1)</f>
        <v>2.6923076923076925E-2</v>
      </c>
      <c r="BA9" s="104">
        <v>34</v>
      </c>
      <c r="BB9" s="23">
        <f>IF(ISERR((BA9/$AQ9)*1),"-",(BA9/$AQ9)*1)</f>
        <v>0.52307692307692311</v>
      </c>
      <c r="BC9" s="53"/>
      <c r="BD9" s="6">
        <f>Q!$B$1</f>
        <v>2020</v>
      </c>
      <c r="BE9" s="104">
        <v>2.68</v>
      </c>
      <c r="BF9" s="51"/>
      <c r="BG9" s="6">
        <f>Q!$B$1</f>
        <v>2020</v>
      </c>
      <c r="BH9" s="104">
        <v>2880</v>
      </c>
      <c r="BI9" s="104">
        <v>68</v>
      </c>
      <c r="BJ9" s="104">
        <v>23.6</v>
      </c>
      <c r="BK9" s="101">
        <v>0.18060000000000001</v>
      </c>
      <c r="BL9" s="101">
        <v>0.98529999999999995</v>
      </c>
      <c r="BM9" s="101">
        <v>1</v>
      </c>
      <c r="BO9" s="6">
        <f>Q!$B$1</f>
        <v>2020</v>
      </c>
      <c r="BP9" s="16">
        <f>BH10</f>
        <v>2899</v>
      </c>
      <c r="BQ9" s="32"/>
      <c r="BR9" s="32">
        <v>2</v>
      </c>
      <c r="BS9" s="32"/>
      <c r="BT9" s="32"/>
      <c r="BU9" s="32"/>
      <c r="BV9" s="32"/>
      <c r="BX9" s="6">
        <f>Q!$B$1</f>
        <v>2020</v>
      </c>
      <c r="BY9" s="104">
        <v>254</v>
      </c>
      <c r="BZ9" s="104">
        <v>4</v>
      </c>
      <c r="CB9" s="6">
        <f>Q!$B$1</f>
        <v>2020</v>
      </c>
      <c r="CC9" s="104">
        <v>0</v>
      </c>
      <c r="CD9" s="104">
        <v>4</v>
      </c>
      <c r="CE9" s="104">
        <v>2</v>
      </c>
      <c r="CF9" s="104">
        <v>2</v>
      </c>
      <c r="CG9" s="104">
        <v>67</v>
      </c>
      <c r="CH9" s="104">
        <v>10.6</v>
      </c>
      <c r="CJ9" s="160" t="s">
        <v>84</v>
      </c>
      <c r="CK9" s="160"/>
    </row>
    <row r="10" spans="1:94" x14ac:dyDescent="0.25">
      <c r="A10" s="1" t="s">
        <v>28</v>
      </c>
      <c r="E10" s="6">
        <f>Q!$B$1+1</f>
        <v>2021</v>
      </c>
      <c r="F10" s="101">
        <v>7.7999999999999996E-3</v>
      </c>
      <c r="G10" s="101">
        <v>5.7999999999999996E-3</v>
      </c>
      <c r="H10" s="66">
        <f t="shared" si="6"/>
        <v>6.7999999999999996E-3</v>
      </c>
      <c r="I10" s="100"/>
      <c r="J10" s="152" t="s">
        <v>181</v>
      </c>
      <c r="K10" s="31" t="s">
        <v>7</v>
      </c>
      <c r="L10" s="96">
        <v>2</v>
      </c>
      <c r="M10" s="96">
        <v>1</v>
      </c>
      <c r="N10" s="96">
        <v>6</v>
      </c>
      <c r="O10" s="96">
        <v>6</v>
      </c>
      <c r="P10" s="96">
        <v>6</v>
      </c>
      <c r="Q10" s="96">
        <v>8</v>
      </c>
      <c r="R10" s="96">
        <v>2</v>
      </c>
      <c r="S10" s="131"/>
      <c r="U10" s="6">
        <f>Q!$B$1</f>
        <v>2020</v>
      </c>
      <c r="V10" s="101">
        <v>0.41539999999999999</v>
      </c>
      <c r="W10" s="101">
        <v>0.48149999999999998</v>
      </c>
      <c r="X10" s="102"/>
      <c r="Y10" s="6">
        <f>Q!$B$1</f>
        <v>2020</v>
      </c>
      <c r="Z10" s="104">
        <v>65</v>
      </c>
      <c r="AA10" s="104">
        <v>2</v>
      </c>
      <c r="AB10" s="23">
        <f t="shared" ref="AB10" si="17">IF(ISERR((AA10/Z10)*1),"-",(AA10/Z10)*1)</f>
        <v>3.0769230769230771E-2</v>
      </c>
      <c r="AC10" s="104">
        <v>3</v>
      </c>
      <c r="AD10" s="23">
        <f t="shared" ref="AD10" si="18">IF(ISERR((AC10/Z10)*1),"-",(AC10/Z10)*1)</f>
        <v>4.6153846153846156E-2</v>
      </c>
      <c r="AE10" s="29">
        <f t="shared" si="11"/>
        <v>60</v>
      </c>
      <c r="AF10" s="23">
        <f t="shared" ref="AF10:AF11" si="19">IF(ISERR((AE10/Z10)*1),"-",(AE10/Z10)*1)</f>
        <v>0.92307692307692313</v>
      </c>
      <c r="AG10" s="45"/>
      <c r="AH10" s="6">
        <f>Q!$B$1+1</f>
        <v>2021</v>
      </c>
      <c r="AI10" s="104">
        <v>5</v>
      </c>
      <c r="AJ10" s="104">
        <v>1</v>
      </c>
      <c r="AL10" s="6">
        <f>Q!$B$1+1</f>
        <v>2021</v>
      </c>
      <c r="AM10" s="104">
        <v>39</v>
      </c>
      <c r="AN10" s="104">
        <v>1</v>
      </c>
      <c r="AP10" s="6">
        <f>Q!$B$1+1</f>
        <v>2021</v>
      </c>
      <c r="AQ10" s="104">
        <v>39</v>
      </c>
      <c r="AR10" s="23">
        <v>6.7999999999999996E-3</v>
      </c>
      <c r="AS10" s="104">
        <v>19</v>
      </c>
      <c r="AT10" s="23">
        <f t="shared" si="8"/>
        <v>0.48717948717948717</v>
      </c>
      <c r="AV10" s="6">
        <f>Q!$B$1+1</f>
        <v>2021</v>
      </c>
      <c r="AW10" s="104">
        <v>0</v>
      </c>
      <c r="AX10" s="23">
        <f>IF(ISERR((AW10/$AQ10)*1),"-",(AW10/$AQ10)*1)</f>
        <v>0</v>
      </c>
      <c r="AY10" s="104">
        <v>1.23</v>
      </c>
      <c r="AZ10" s="23">
        <f>IF(ISERR((AY10/$AQ10)*1),"-",(AY10/$AQ10)*1)</f>
        <v>3.1538461538461536E-2</v>
      </c>
      <c r="BA10" s="104">
        <v>19</v>
      </c>
      <c r="BB10" s="23">
        <f>IF(ISERR((BA10/$AQ10)*1),"-",(BA10/$AQ10)*1)</f>
        <v>0.48717948717948717</v>
      </c>
      <c r="BD10" s="6">
        <f>Q!$B$1+1</f>
        <v>2021</v>
      </c>
      <c r="BE10" s="104">
        <v>3</v>
      </c>
      <c r="BG10" s="6">
        <f>Q!$B$1+1</f>
        <v>2021</v>
      </c>
      <c r="BH10" s="104">
        <v>2899</v>
      </c>
      <c r="BI10" s="104">
        <v>21</v>
      </c>
      <c r="BJ10" s="104">
        <v>7.24</v>
      </c>
      <c r="BK10" s="101">
        <v>0.17899999999999999</v>
      </c>
      <c r="BL10" s="101">
        <v>0.9899</v>
      </c>
      <c r="BM10" s="101">
        <v>1</v>
      </c>
      <c r="BO10" s="1" t="s">
        <v>27</v>
      </c>
      <c r="BX10" s="1" t="s">
        <v>28</v>
      </c>
      <c r="CB10" s="6">
        <f>Q!$B$1+1</f>
        <v>2021</v>
      </c>
      <c r="CC10" s="104">
        <v>0</v>
      </c>
      <c r="CD10" s="104">
        <v>4</v>
      </c>
      <c r="CE10" s="104">
        <v>2</v>
      </c>
      <c r="CF10" s="104">
        <v>2</v>
      </c>
      <c r="CG10" s="104">
        <v>62</v>
      </c>
      <c r="CH10" s="104">
        <v>10.4</v>
      </c>
    </row>
    <row r="11" spans="1:94" x14ac:dyDescent="0.25">
      <c r="E11" s="1" t="s">
        <v>18</v>
      </c>
      <c r="I11" s="19"/>
      <c r="J11" s="152"/>
      <c r="K11" s="31" t="s">
        <v>17</v>
      </c>
      <c r="L11" s="43">
        <f t="shared" ref="L11:P11" si="20">IF(ISERR((L10/L$3)),"-",(L10/L$3))</f>
        <v>3.7735849056603772E-2</v>
      </c>
      <c r="M11" s="43">
        <f t="shared" si="20"/>
        <v>2.4390243902439025E-2</v>
      </c>
      <c r="N11" s="43">
        <f t="shared" si="20"/>
        <v>0.10344827586206896</v>
      </c>
      <c r="O11" s="43">
        <f t="shared" si="20"/>
        <v>0.12</v>
      </c>
      <c r="P11" s="43">
        <f t="shared" si="20"/>
        <v>0.13953488372093023</v>
      </c>
      <c r="Q11" s="43">
        <f>IF(ISERR((Q10/Q$3)),"-",(Q10/Q$3))</f>
        <v>0.12307692307692308</v>
      </c>
      <c r="R11" s="43">
        <f>IF(ISERR((R10/R$3)),"-",(R10/R$3))</f>
        <v>5.128205128205128E-2</v>
      </c>
      <c r="S11" s="132"/>
      <c r="U11" s="6">
        <f>Q!$B$1+1</f>
        <v>2021</v>
      </c>
      <c r="V11" s="101">
        <v>0.5897</v>
      </c>
      <c r="W11" s="101">
        <v>0.43480000000000002</v>
      </c>
      <c r="Y11" s="6">
        <f>Q!$B$1+1</f>
        <v>2021</v>
      </c>
      <c r="Z11" s="104">
        <v>39</v>
      </c>
      <c r="AA11" s="104">
        <v>0</v>
      </c>
      <c r="AB11" s="23">
        <f t="shared" si="9"/>
        <v>0</v>
      </c>
      <c r="AC11" s="104">
        <v>2</v>
      </c>
      <c r="AD11" s="23">
        <f t="shared" si="10"/>
        <v>5.128205128205128E-2</v>
      </c>
      <c r="AE11" s="29">
        <f t="shared" si="11"/>
        <v>37</v>
      </c>
      <c r="AF11" s="23">
        <f t="shared" si="19"/>
        <v>0.94871794871794868</v>
      </c>
      <c r="AH11" s="1" t="s">
        <v>18</v>
      </c>
      <c r="AL11" s="19" t="s">
        <v>18</v>
      </c>
      <c r="AM11" s="19"/>
      <c r="AN11" s="19"/>
      <c r="AP11" s="1" t="s">
        <v>18</v>
      </c>
      <c r="AV11" s="1" t="s">
        <v>18</v>
      </c>
      <c r="BD11" s="1" t="s">
        <v>92</v>
      </c>
      <c r="BG11" s="1" t="s">
        <v>27</v>
      </c>
      <c r="CB11" s="1" t="s">
        <v>28</v>
      </c>
    </row>
    <row r="12" spans="1:94" x14ac:dyDescent="0.25">
      <c r="J12" s="152" t="s">
        <v>182</v>
      </c>
      <c r="K12" s="31" t="s">
        <v>7</v>
      </c>
      <c r="L12" s="96">
        <v>7</v>
      </c>
      <c r="M12" s="96">
        <v>4</v>
      </c>
      <c r="N12" s="96">
        <v>3</v>
      </c>
      <c r="O12" s="96">
        <v>4</v>
      </c>
      <c r="P12" s="96">
        <v>3</v>
      </c>
      <c r="Q12" s="96">
        <v>4</v>
      </c>
      <c r="R12" s="96">
        <v>5</v>
      </c>
      <c r="S12" s="131"/>
      <c r="U12" s="1" t="s">
        <v>18</v>
      </c>
      <c r="Y12" s="1" t="s">
        <v>18</v>
      </c>
    </row>
    <row r="13" spans="1:94" x14ac:dyDescent="0.25">
      <c r="J13" s="152"/>
      <c r="K13" s="31" t="s">
        <v>17</v>
      </c>
      <c r="L13" s="43">
        <f t="shared" ref="L13:P13" si="21">IF(ISERR((L12/L$3)),"-",(L12/L$3))</f>
        <v>0.13207547169811321</v>
      </c>
      <c r="M13" s="43">
        <f t="shared" si="21"/>
        <v>9.7560975609756101E-2</v>
      </c>
      <c r="N13" s="43">
        <f t="shared" si="21"/>
        <v>5.1724137931034482E-2</v>
      </c>
      <c r="O13" s="43">
        <f t="shared" si="21"/>
        <v>0.08</v>
      </c>
      <c r="P13" s="43">
        <f t="shared" si="21"/>
        <v>6.9767441860465115E-2</v>
      </c>
      <c r="Q13" s="43">
        <f>IF(ISERR((Q12/Q$3)),"-",(Q12/Q$3))</f>
        <v>6.1538461538461542E-2</v>
      </c>
      <c r="R13" s="43">
        <f>IF(ISERR((R12/R$3)),"-",(R12/R$3))</f>
        <v>0.12820512820512819</v>
      </c>
      <c r="S13" s="132"/>
    </row>
    <row r="14" spans="1:94" x14ac:dyDescent="0.25">
      <c r="J14" s="152" t="s">
        <v>183</v>
      </c>
      <c r="K14" s="31" t="s">
        <v>7</v>
      </c>
      <c r="L14" s="96">
        <v>10</v>
      </c>
      <c r="M14" s="96">
        <v>9</v>
      </c>
      <c r="N14" s="96">
        <v>11</v>
      </c>
      <c r="O14" s="96">
        <v>8</v>
      </c>
      <c r="P14" s="96">
        <v>7</v>
      </c>
      <c r="Q14" s="96">
        <v>9</v>
      </c>
      <c r="R14" s="96">
        <v>5</v>
      </c>
      <c r="S14" s="131"/>
    </row>
    <row r="15" spans="1:94" x14ac:dyDescent="0.25">
      <c r="J15" s="152"/>
      <c r="K15" s="31" t="s">
        <v>17</v>
      </c>
      <c r="L15" s="43">
        <f t="shared" ref="L15:P15" si="22">IF(ISERR((L14/L$3)),"-",(L14/L$3))</f>
        <v>0.18867924528301888</v>
      </c>
      <c r="M15" s="43">
        <f t="shared" si="22"/>
        <v>0.21951219512195122</v>
      </c>
      <c r="N15" s="43">
        <f t="shared" si="22"/>
        <v>0.18965517241379309</v>
      </c>
      <c r="O15" s="43">
        <f t="shared" si="22"/>
        <v>0.16</v>
      </c>
      <c r="P15" s="43">
        <f t="shared" si="22"/>
        <v>0.16279069767441862</v>
      </c>
      <c r="Q15" s="43">
        <f>IF(ISERR((Q14/Q$3)),"-",(Q14/Q$3))</f>
        <v>0.13846153846153847</v>
      </c>
      <c r="R15" s="43">
        <f>IF(ISERR((R14/R$3)),"-",(R14/R$3))</f>
        <v>0.12820512820512819</v>
      </c>
      <c r="S15" s="132"/>
      <c r="AP15" s="19"/>
      <c r="AQ15" s="19"/>
      <c r="AR15" s="19"/>
      <c r="AS15" s="19"/>
      <c r="AT15" s="19"/>
    </row>
    <row r="16" spans="1:94" x14ac:dyDescent="0.25">
      <c r="J16" s="152" t="s">
        <v>184</v>
      </c>
      <c r="K16" s="31" t="s">
        <v>7</v>
      </c>
      <c r="L16" s="96">
        <v>5</v>
      </c>
      <c r="M16" s="96">
        <v>6</v>
      </c>
      <c r="N16" s="96">
        <v>4</v>
      </c>
      <c r="O16" s="96">
        <v>7</v>
      </c>
      <c r="P16" s="96">
        <v>5</v>
      </c>
      <c r="Q16" s="96">
        <v>12</v>
      </c>
      <c r="R16" s="96">
        <v>7</v>
      </c>
      <c r="S16" s="131"/>
      <c r="T16" s="14"/>
      <c r="AP16" s="19"/>
      <c r="AQ16" s="19"/>
      <c r="AR16" s="19"/>
      <c r="AS16" s="19"/>
      <c r="AT16" s="19"/>
    </row>
    <row r="17" spans="10:19" x14ac:dyDescent="0.25">
      <c r="J17" s="152"/>
      <c r="K17" s="31" t="s">
        <v>17</v>
      </c>
      <c r="L17" s="43">
        <f t="shared" ref="L17:P17" si="23">IF(ISERR((L16/L$3)),"-",(L16/L$3))</f>
        <v>9.4339622641509441E-2</v>
      </c>
      <c r="M17" s="43">
        <f t="shared" si="23"/>
        <v>0.14634146341463414</v>
      </c>
      <c r="N17" s="43">
        <f t="shared" si="23"/>
        <v>6.8965517241379309E-2</v>
      </c>
      <c r="O17" s="43">
        <f t="shared" si="23"/>
        <v>0.14000000000000001</v>
      </c>
      <c r="P17" s="43">
        <f t="shared" si="23"/>
        <v>0.11627906976744186</v>
      </c>
      <c r="Q17" s="43">
        <f>IF(ISERR((Q16/Q$3)),"-",(Q16/Q$3))</f>
        <v>0.18461538461538463</v>
      </c>
      <c r="R17" s="43">
        <f>IF(ISERR((R16/R$3)),"-",(R16/R$3))</f>
        <v>0.17948717948717949</v>
      </c>
      <c r="S17" s="132"/>
    </row>
    <row r="18" spans="10:19" x14ac:dyDescent="0.25">
      <c r="J18" s="152" t="s">
        <v>185</v>
      </c>
      <c r="K18" s="31" t="s">
        <v>7</v>
      </c>
      <c r="L18" s="96">
        <v>4</v>
      </c>
      <c r="M18" s="96">
        <v>1</v>
      </c>
      <c r="N18" s="96">
        <v>4</v>
      </c>
      <c r="O18" s="96">
        <v>1</v>
      </c>
      <c r="P18" s="96">
        <v>6</v>
      </c>
      <c r="Q18" s="96">
        <v>1</v>
      </c>
      <c r="R18" s="96">
        <v>0</v>
      </c>
      <c r="S18" s="131"/>
    </row>
    <row r="19" spans="10:19" x14ac:dyDescent="0.25">
      <c r="J19" s="152"/>
      <c r="K19" s="31" t="s">
        <v>17</v>
      </c>
      <c r="L19" s="43">
        <f t="shared" ref="L19:P19" si="24">IF(ISERR((L18/L$3)),"-",(L18/L$3))</f>
        <v>7.5471698113207544E-2</v>
      </c>
      <c r="M19" s="43">
        <f t="shared" si="24"/>
        <v>2.4390243902439025E-2</v>
      </c>
      <c r="N19" s="43">
        <f t="shared" si="24"/>
        <v>6.8965517241379309E-2</v>
      </c>
      <c r="O19" s="43">
        <f t="shared" si="24"/>
        <v>0.02</v>
      </c>
      <c r="P19" s="43">
        <f t="shared" si="24"/>
        <v>0.13953488372093023</v>
      </c>
      <c r="Q19" s="43">
        <f>IF(ISERR((Q18/Q$3)),"-",(Q18/Q$3))</f>
        <v>1.5384615384615385E-2</v>
      </c>
      <c r="R19" s="43">
        <f>IF(ISERR((R18/R$3)),"-",(R18/R$3))</f>
        <v>0</v>
      </c>
      <c r="S19" s="132"/>
    </row>
    <row r="20" spans="10:19" x14ac:dyDescent="0.25">
      <c r="J20" s="152" t="s">
        <v>186</v>
      </c>
      <c r="K20" s="31" t="s">
        <v>7</v>
      </c>
      <c r="L20" s="96">
        <v>12</v>
      </c>
      <c r="M20" s="96">
        <v>7</v>
      </c>
      <c r="N20" s="96">
        <v>8</v>
      </c>
      <c r="O20" s="96">
        <v>3</v>
      </c>
      <c r="P20" s="96">
        <v>2</v>
      </c>
      <c r="Q20" s="96">
        <v>9</v>
      </c>
      <c r="R20" s="96">
        <v>4</v>
      </c>
      <c r="S20" s="131"/>
    </row>
    <row r="21" spans="10:19" x14ac:dyDescent="0.25">
      <c r="J21" s="152"/>
      <c r="K21" s="31" t="s">
        <v>17</v>
      </c>
      <c r="L21" s="43">
        <f t="shared" ref="L21:P21" si="25">IF(ISERR((L20/L$3)),"-",(L20/L$3))</f>
        <v>0.22641509433962265</v>
      </c>
      <c r="M21" s="43">
        <f t="shared" si="25"/>
        <v>0.17073170731707318</v>
      </c>
      <c r="N21" s="43">
        <f t="shared" si="25"/>
        <v>0.13793103448275862</v>
      </c>
      <c r="O21" s="43">
        <f t="shared" si="25"/>
        <v>0.06</v>
      </c>
      <c r="P21" s="43">
        <f t="shared" si="25"/>
        <v>4.6511627906976744E-2</v>
      </c>
      <c r="Q21" s="43">
        <f>IF(ISERR((Q20/Q$3)),"-",(Q20/Q$3))</f>
        <v>0.13846153846153847</v>
      </c>
      <c r="R21" s="43">
        <f>IF(ISERR((R20/R$3)),"-",(R20/R$3))</f>
        <v>0.10256410256410256</v>
      </c>
      <c r="S21" s="132"/>
    </row>
    <row r="22" spans="10:19" x14ac:dyDescent="0.25">
      <c r="J22" s="152" t="s">
        <v>187</v>
      </c>
      <c r="K22" s="31" t="s">
        <v>7</v>
      </c>
      <c r="L22" s="96">
        <v>8</v>
      </c>
      <c r="M22" s="96">
        <v>6</v>
      </c>
      <c r="N22" s="96">
        <v>11</v>
      </c>
      <c r="O22" s="96">
        <v>16</v>
      </c>
      <c r="P22" s="96">
        <v>9</v>
      </c>
      <c r="Q22" s="96">
        <v>12</v>
      </c>
      <c r="R22" s="96">
        <v>13</v>
      </c>
      <c r="S22" s="131"/>
    </row>
    <row r="23" spans="10:19" x14ac:dyDescent="0.25">
      <c r="J23" s="152"/>
      <c r="K23" s="31" t="s">
        <v>17</v>
      </c>
      <c r="L23" s="43">
        <f t="shared" ref="L23:P23" si="26">IF(ISERR((L22/L$3)),"-",(L22/L$3))</f>
        <v>0.15094339622641509</v>
      </c>
      <c r="M23" s="43">
        <f t="shared" si="26"/>
        <v>0.14634146341463414</v>
      </c>
      <c r="N23" s="43">
        <f t="shared" si="26"/>
        <v>0.18965517241379309</v>
      </c>
      <c r="O23" s="43">
        <f t="shared" si="26"/>
        <v>0.32</v>
      </c>
      <c r="P23" s="43">
        <f t="shared" si="26"/>
        <v>0.20930232558139536</v>
      </c>
      <c r="Q23" s="43">
        <f>IF(ISERR((Q22/Q$3)),"-",(Q22/Q$3))</f>
        <v>0.18461538461538463</v>
      </c>
      <c r="R23" s="43">
        <f>IF(ISERR((R22/R$3)),"-",(R22/R$3))</f>
        <v>0.33333333333333331</v>
      </c>
      <c r="S23" s="132"/>
    </row>
    <row r="24" spans="10:19" x14ac:dyDescent="0.25">
      <c r="J24" s="1" t="s">
        <v>18</v>
      </c>
    </row>
  </sheetData>
  <mergeCells count="54">
    <mergeCell ref="AW2:AX2"/>
    <mergeCell ref="BA2:BB2"/>
    <mergeCell ref="AL2:AL3"/>
    <mergeCell ref="BO2:BO3"/>
    <mergeCell ref="BX2:BX3"/>
    <mergeCell ref="CJ9:CK9"/>
    <mergeCell ref="BD1:BE1"/>
    <mergeCell ref="BD2:BD3"/>
    <mergeCell ref="BG1:BM1"/>
    <mergeCell ref="BO1:BV1"/>
    <mergeCell ref="BX1:BZ1"/>
    <mergeCell ref="BG2:BG3"/>
    <mergeCell ref="CJ1:CK1"/>
    <mergeCell ref="CB2:CB3"/>
    <mergeCell ref="A1:C1"/>
    <mergeCell ref="A2:A3"/>
    <mergeCell ref="AH1:AJ1"/>
    <mergeCell ref="AH2:AH3"/>
    <mergeCell ref="J1:Q1"/>
    <mergeCell ref="AL1:AN1"/>
    <mergeCell ref="E1:H1"/>
    <mergeCell ref="F2:H2"/>
    <mergeCell ref="E2:E3"/>
    <mergeCell ref="U1:W1"/>
    <mergeCell ref="W2:W3"/>
    <mergeCell ref="J18:J19"/>
    <mergeCell ref="J20:J21"/>
    <mergeCell ref="J22:J23"/>
    <mergeCell ref="AQ2:AR2"/>
    <mergeCell ref="AP2:AP3"/>
    <mergeCell ref="J4:J5"/>
    <mergeCell ref="J6:J7"/>
    <mergeCell ref="J8:J9"/>
    <mergeCell ref="J10:J11"/>
    <mergeCell ref="J12:J13"/>
    <mergeCell ref="J14:J15"/>
    <mergeCell ref="V2:V3"/>
    <mergeCell ref="J16:J17"/>
    <mergeCell ref="CM1:CP1"/>
    <mergeCell ref="CB1:CH1"/>
    <mergeCell ref="AV2:AV3"/>
    <mergeCell ref="AV1:BB1"/>
    <mergeCell ref="J2:J3"/>
    <mergeCell ref="U2:U4"/>
    <mergeCell ref="Y1:AF1"/>
    <mergeCell ref="Y2:Y4"/>
    <mergeCell ref="Z2:Z3"/>
    <mergeCell ref="AA2:AF2"/>
    <mergeCell ref="AA3:AB3"/>
    <mergeCell ref="AC3:AD3"/>
    <mergeCell ref="AE3:AF3"/>
    <mergeCell ref="AY2:AZ2"/>
    <mergeCell ref="AS2:AT2"/>
    <mergeCell ref="AP1:AT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C33"/>
  <sheetViews>
    <sheetView zoomScale="98" zoomScaleNormal="98" workbookViewId="0"/>
  </sheetViews>
  <sheetFormatPr defaultRowHeight="15" x14ac:dyDescent="0.25"/>
  <cols>
    <col min="2" max="2" width="61.140625" bestFit="1" customWidth="1"/>
    <col min="3" max="3" width="10" customWidth="1"/>
    <col min="5" max="5" width="13.140625" customWidth="1"/>
    <col min="6" max="7" width="13.28515625" bestFit="1" customWidth="1"/>
    <col min="9" max="9" width="11.140625" customWidth="1"/>
    <col min="10" max="10" width="28" customWidth="1"/>
    <col min="11" max="11" width="31.140625" customWidth="1"/>
    <col min="13" max="13" width="13.28515625" customWidth="1"/>
    <col min="14" max="14" width="38.7109375" customWidth="1"/>
    <col min="15" max="15" width="13" customWidth="1"/>
    <col min="16" max="16" width="7.7109375" customWidth="1"/>
    <col min="17" max="17" width="25.28515625" customWidth="1"/>
    <col min="18" max="18" width="23.28515625" customWidth="1"/>
    <col min="19" max="19" width="17.7109375" customWidth="1"/>
    <col min="20" max="20" width="15.28515625" customWidth="1"/>
    <col min="22" max="22" width="18.42578125" customWidth="1"/>
    <col min="23" max="23" width="19.28515625" customWidth="1"/>
    <col min="24" max="24" width="26.28515625" customWidth="1"/>
    <col min="25" max="25" width="18.42578125" customWidth="1"/>
    <col min="26" max="26" width="19.85546875" customWidth="1"/>
    <col min="27" max="27" width="19.140625" customWidth="1"/>
    <col min="29" max="29" width="9.140625" customWidth="1"/>
    <col min="30" max="30" width="18.140625" customWidth="1"/>
    <col min="31" max="31" width="17.28515625" customWidth="1"/>
    <col min="32" max="32" width="19.85546875" customWidth="1"/>
    <col min="34" max="34" width="11" customWidth="1"/>
    <col min="35" max="35" width="21.5703125" customWidth="1"/>
    <col min="36" max="36" width="21" customWidth="1"/>
    <col min="37" max="37" width="18.85546875" customWidth="1"/>
    <col min="38" max="38" width="15" customWidth="1"/>
    <col min="39" max="41" width="15.28515625" customWidth="1"/>
    <col min="42" max="42" width="26.28515625" customWidth="1"/>
    <col min="43" max="43" width="28.140625" customWidth="1"/>
    <col min="44" max="44" width="14.42578125" customWidth="1"/>
    <col min="46" max="46" width="14.42578125" customWidth="1"/>
    <col min="47" max="47" width="14.140625" customWidth="1"/>
    <col min="48" max="48" width="15.28515625" customWidth="1"/>
    <col min="49" max="49" width="14.85546875" customWidth="1"/>
    <col min="50" max="50" width="15.42578125" customWidth="1"/>
    <col min="51" max="51" width="14" customWidth="1"/>
    <col min="52" max="52" width="14.7109375" customWidth="1"/>
    <col min="53" max="55" width="15" customWidth="1"/>
    <col min="56" max="56" width="18.7109375" customWidth="1"/>
    <col min="57" max="57" width="24.42578125" customWidth="1"/>
    <col min="58" max="58" width="25.42578125" customWidth="1"/>
    <col min="59" max="59" width="21" customWidth="1"/>
    <col min="60" max="60" width="14.7109375" customWidth="1"/>
    <col min="61" max="61" width="19.42578125" customWidth="1"/>
    <col min="62" max="62" width="36.5703125" customWidth="1"/>
    <col min="63" max="63" width="23.85546875" customWidth="1"/>
    <col min="64" max="64" width="20.85546875" customWidth="1"/>
    <col min="65" max="65" width="9.42578125" customWidth="1"/>
    <col min="66" max="66" width="20.85546875" customWidth="1"/>
    <col min="67" max="67" width="24.5703125" customWidth="1"/>
    <col min="68" max="68" width="32.5703125" customWidth="1"/>
    <col min="69" max="69" width="32.28515625" customWidth="1"/>
    <col min="70" max="72" width="20.85546875" customWidth="1"/>
    <col min="73" max="73" width="10.7109375" customWidth="1"/>
    <col min="74" max="74" width="26.140625" customWidth="1"/>
    <col min="75" max="75" width="32.5703125" customWidth="1"/>
    <col min="77" max="77" width="39.7109375" customWidth="1"/>
    <col min="78" max="78" width="11.28515625" customWidth="1"/>
    <col min="79" max="79" width="10.7109375" customWidth="1"/>
    <col min="82" max="82" width="16.28515625" customWidth="1"/>
    <col min="83" max="83" width="22.140625" customWidth="1"/>
    <col min="84" max="84" width="17.28515625" customWidth="1"/>
    <col min="85" max="85" width="24.28515625" customWidth="1"/>
    <col min="86" max="86" width="21.5703125" customWidth="1"/>
    <col min="87" max="87" width="19.28515625" customWidth="1"/>
    <col min="88" max="88" width="23.85546875" bestFit="1" customWidth="1"/>
    <col min="89" max="89" width="17.42578125" customWidth="1"/>
    <col min="92" max="92" width="11.85546875" customWidth="1"/>
    <col min="93" max="93" width="25.42578125" customWidth="1"/>
    <col min="94" max="94" width="20.85546875" customWidth="1"/>
    <col min="95" max="95" width="23.28515625" customWidth="1"/>
    <col min="96" max="97" width="27.85546875" customWidth="1"/>
    <col min="99" max="99" width="20.42578125" customWidth="1"/>
    <col min="100" max="100" width="39.28515625" customWidth="1"/>
    <col min="102" max="102" width="17" customWidth="1"/>
    <col min="103" max="103" width="9.140625" customWidth="1"/>
    <col min="104" max="104" width="20.7109375" customWidth="1"/>
    <col min="105" max="105" width="17.140625" customWidth="1"/>
    <col min="106" max="107" width="18.85546875" customWidth="1"/>
  </cols>
  <sheetData>
    <row r="1" spans="1:107" ht="33" customHeight="1" x14ac:dyDescent="0.25">
      <c r="B1" s="182" t="s">
        <v>140</v>
      </c>
      <c r="C1" s="182"/>
      <c r="D1" s="182"/>
      <c r="E1" s="182"/>
      <c r="F1" s="182"/>
      <c r="G1" s="182"/>
      <c r="I1" s="162" t="s">
        <v>222</v>
      </c>
      <c r="J1" s="162"/>
      <c r="K1" s="162"/>
      <c r="L1" s="1"/>
      <c r="M1" s="162" t="s">
        <v>221</v>
      </c>
      <c r="N1" s="162"/>
      <c r="O1" s="2"/>
      <c r="P1" s="162" t="s">
        <v>68</v>
      </c>
      <c r="Q1" s="162"/>
      <c r="R1" s="162"/>
      <c r="S1" s="162"/>
      <c r="T1" s="1"/>
      <c r="U1" s="183" t="s">
        <v>223</v>
      </c>
      <c r="V1" s="183"/>
      <c r="W1" s="183"/>
      <c r="X1" s="183"/>
      <c r="Y1" s="183"/>
      <c r="Z1" s="183"/>
      <c r="AA1" s="183"/>
      <c r="AC1" s="181" t="s">
        <v>38</v>
      </c>
      <c r="AD1" s="181"/>
      <c r="AE1" s="181"/>
      <c r="AF1" s="181"/>
      <c r="AH1" s="146" t="s">
        <v>41</v>
      </c>
      <c r="AI1" s="146"/>
      <c r="AJ1" s="146"/>
      <c r="AK1" s="146"/>
      <c r="AL1" s="146"/>
      <c r="AM1" s="146"/>
      <c r="AN1" s="61"/>
      <c r="AO1" s="146" t="s">
        <v>130</v>
      </c>
      <c r="AP1" s="146"/>
      <c r="AQ1" s="146"/>
      <c r="AR1" s="61"/>
      <c r="AS1" s="146" t="s">
        <v>131</v>
      </c>
      <c r="AT1" s="146"/>
      <c r="AU1" s="146"/>
      <c r="AV1" s="146"/>
      <c r="AW1" s="146"/>
      <c r="AX1" s="146"/>
      <c r="AY1" s="146"/>
      <c r="AZ1" s="146"/>
      <c r="BA1" s="146"/>
      <c r="BB1" s="61"/>
      <c r="BC1" s="175" t="s">
        <v>86</v>
      </c>
      <c r="BD1" s="176"/>
      <c r="BE1" s="176"/>
      <c r="BF1" s="177"/>
      <c r="BG1" s="62"/>
      <c r="BH1" s="161" t="s">
        <v>87</v>
      </c>
      <c r="BI1" s="161"/>
      <c r="BJ1" s="161"/>
      <c r="BK1" s="161"/>
      <c r="BL1" s="62"/>
      <c r="BM1" s="178" t="s">
        <v>88</v>
      </c>
      <c r="BN1" s="179"/>
      <c r="BO1" s="179"/>
      <c r="BP1" s="179"/>
      <c r="BQ1" s="179"/>
      <c r="BR1" s="179"/>
      <c r="BS1" s="180"/>
      <c r="BT1" s="62"/>
      <c r="BU1" s="189" t="s">
        <v>91</v>
      </c>
      <c r="BV1" s="189"/>
      <c r="BW1" s="189"/>
      <c r="BY1" s="182" t="s">
        <v>258</v>
      </c>
      <c r="BZ1" s="183"/>
      <c r="CA1" s="183"/>
      <c r="CC1" s="183" t="s">
        <v>55</v>
      </c>
      <c r="CD1" s="183"/>
      <c r="CE1" s="183"/>
      <c r="CF1" s="183"/>
      <c r="CG1" s="183"/>
      <c r="CH1" s="183"/>
      <c r="CI1" s="183"/>
      <c r="CJ1" s="183"/>
      <c r="CK1" s="183"/>
      <c r="CM1" s="1"/>
      <c r="CN1" s="182" t="s">
        <v>59</v>
      </c>
      <c r="CO1" s="182"/>
      <c r="CP1" s="182"/>
      <c r="CQ1" s="182"/>
      <c r="CR1" s="182"/>
      <c r="CS1" s="182"/>
      <c r="CT1" s="19"/>
      <c r="CU1" s="182" t="s">
        <v>264</v>
      </c>
      <c r="CV1" s="182"/>
      <c r="CW1" s="1"/>
      <c r="CY1" s="181" t="s">
        <v>89</v>
      </c>
      <c r="CZ1" s="181"/>
      <c r="DA1" s="181"/>
      <c r="DB1" s="181"/>
      <c r="DC1" s="181"/>
    </row>
    <row r="2" spans="1:107" ht="93.75" customHeight="1" x14ac:dyDescent="0.25">
      <c r="B2" s="150" t="s">
        <v>6</v>
      </c>
      <c r="C2" s="139" t="s">
        <v>7</v>
      </c>
      <c r="D2" s="139"/>
      <c r="E2" s="140"/>
      <c r="F2" s="141" t="s">
        <v>8</v>
      </c>
      <c r="G2" s="142"/>
      <c r="I2" s="150" t="s">
        <v>4</v>
      </c>
      <c r="J2" s="4" t="s">
        <v>120</v>
      </c>
      <c r="K2" s="4" t="s">
        <v>119</v>
      </c>
      <c r="L2" s="1"/>
      <c r="M2" s="150" t="s">
        <v>4</v>
      </c>
      <c r="N2" s="4" t="s">
        <v>118</v>
      </c>
      <c r="O2" s="30"/>
      <c r="P2" s="136" t="s">
        <v>4</v>
      </c>
      <c r="Q2" s="20" t="s">
        <v>169</v>
      </c>
      <c r="R2" s="20" t="s">
        <v>168</v>
      </c>
      <c r="S2" s="20" t="s">
        <v>67</v>
      </c>
      <c r="T2" s="1"/>
      <c r="U2" s="150" t="s">
        <v>4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  <c r="AA2" s="4" t="s">
        <v>36</v>
      </c>
      <c r="AC2" s="173" t="s">
        <v>4</v>
      </c>
      <c r="AD2" s="20" t="s">
        <v>117</v>
      </c>
      <c r="AE2" s="21" t="s">
        <v>39</v>
      </c>
      <c r="AF2" s="21" t="s">
        <v>40</v>
      </c>
      <c r="AH2" s="150" t="s">
        <v>4</v>
      </c>
      <c r="AI2" s="4" t="s">
        <v>141</v>
      </c>
      <c r="AJ2" s="4" t="s">
        <v>142</v>
      </c>
      <c r="AK2" s="4" t="s">
        <v>116</v>
      </c>
      <c r="AL2" s="4" t="s">
        <v>42</v>
      </c>
      <c r="AM2" s="4" t="s">
        <v>43</v>
      </c>
      <c r="AN2" s="30"/>
      <c r="AO2" s="136" t="s">
        <v>4</v>
      </c>
      <c r="AP2" s="4" t="s">
        <v>45</v>
      </c>
      <c r="AQ2" s="4" t="s">
        <v>122</v>
      </c>
      <c r="AR2" s="30"/>
      <c r="AS2" s="136" t="s">
        <v>4</v>
      </c>
      <c r="AT2" s="4" t="s">
        <v>132</v>
      </c>
      <c r="AU2" s="4" t="s">
        <v>167</v>
      </c>
      <c r="AV2" s="4" t="s">
        <v>121</v>
      </c>
      <c r="AW2" s="4" t="s">
        <v>166</v>
      </c>
      <c r="AX2" s="4" t="s">
        <v>165</v>
      </c>
      <c r="AY2" s="4" t="s">
        <v>164</v>
      </c>
      <c r="AZ2" s="4" t="s">
        <v>161</v>
      </c>
      <c r="BA2" s="4" t="s">
        <v>152</v>
      </c>
      <c r="BB2" s="52"/>
      <c r="BC2" s="150" t="s">
        <v>4</v>
      </c>
      <c r="BD2" s="4" t="s">
        <v>113</v>
      </c>
      <c r="BE2" s="20" t="s">
        <v>162</v>
      </c>
      <c r="BF2" s="20" t="s">
        <v>163</v>
      </c>
      <c r="BG2" s="63"/>
      <c r="BH2" s="150" t="s">
        <v>4</v>
      </c>
      <c r="BI2" s="58" t="s">
        <v>37</v>
      </c>
      <c r="BJ2" s="20" t="s">
        <v>237</v>
      </c>
      <c r="BK2" s="20" t="s">
        <v>238</v>
      </c>
      <c r="BL2" s="63"/>
      <c r="BM2" s="136" t="s">
        <v>4</v>
      </c>
      <c r="BN2" s="83" t="s">
        <v>160</v>
      </c>
      <c r="BO2" s="20" t="s">
        <v>159</v>
      </c>
      <c r="BP2" s="54" t="s">
        <v>158</v>
      </c>
      <c r="BQ2" s="54" t="s">
        <v>157</v>
      </c>
      <c r="BR2" s="54" t="s">
        <v>156</v>
      </c>
      <c r="BS2" s="54" t="s">
        <v>155</v>
      </c>
      <c r="BT2" s="62"/>
      <c r="BU2" s="150" t="s">
        <v>4</v>
      </c>
      <c r="BV2" s="83" t="s">
        <v>253</v>
      </c>
      <c r="BW2" s="20" t="s">
        <v>254</v>
      </c>
      <c r="BY2" s="186" t="s">
        <v>259</v>
      </c>
      <c r="BZ2" s="187"/>
      <c r="CA2" s="188"/>
      <c r="CC2" s="150" t="s">
        <v>4</v>
      </c>
      <c r="CD2" s="4" t="s">
        <v>56</v>
      </c>
      <c r="CE2" s="4" t="s">
        <v>239</v>
      </c>
      <c r="CF2" s="4" t="s">
        <v>115</v>
      </c>
      <c r="CG2" s="4" t="s">
        <v>114</v>
      </c>
      <c r="CH2" s="4" t="s">
        <v>113</v>
      </c>
      <c r="CI2" s="4" t="s">
        <v>112</v>
      </c>
      <c r="CJ2" s="4" t="s">
        <v>154</v>
      </c>
      <c r="CK2" s="20" t="s">
        <v>240</v>
      </c>
      <c r="CM2" s="1"/>
      <c r="CN2" s="150" t="s">
        <v>57</v>
      </c>
      <c r="CO2" s="4" t="s">
        <v>266</v>
      </c>
      <c r="CP2" s="4" t="s">
        <v>174</v>
      </c>
      <c r="CQ2" s="4" t="s">
        <v>175</v>
      </c>
      <c r="CR2" s="20" t="s">
        <v>176</v>
      </c>
      <c r="CS2" s="4" t="s">
        <v>153</v>
      </c>
      <c r="CT2" s="1"/>
      <c r="CU2" s="150" t="s">
        <v>57</v>
      </c>
      <c r="CV2" s="4" t="s">
        <v>111</v>
      </c>
      <c r="CW2" s="1"/>
      <c r="CY2" s="136" t="s">
        <v>4</v>
      </c>
      <c r="CZ2" s="83" t="s">
        <v>60</v>
      </c>
      <c r="DA2" s="20" t="s">
        <v>61</v>
      </c>
      <c r="DB2" s="20" t="s">
        <v>62</v>
      </c>
      <c r="DC2" s="20" t="s">
        <v>177</v>
      </c>
    </row>
    <row r="3" spans="1:107" ht="33.75" customHeight="1" x14ac:dyDescent="0.25">
      <c r="A3" s="17"/>
      <c r="B3" s="150"/>
      <c r="C3" s="79" t="s">
        <v>9</v>
      </c>
      <c r="D3" s="3" t="s">
        <v>10</v>
      </c>
      <c r="E3" s="4" t="s">
        <v>94</v>
      </c>
      <c r="F3" s="4" t="s">
        <v>95</v>
      </c>
      <c r="G3" s="4" t="s">
        <v>97</v>
      </c>
      <c r="I3" s="150"/>
      <c r="J3" s="82" t="s">
        <v>7</v>
      </c>
      <c r="K3" s="82" t="s">
        <v>7</v>
      </c>
      <c r="L3" s="1"/>
      <c r="M3" s="150"/>
      <c r="N3" s="82" t="s">
        <v>7</v>
      </c>
      <c r="O3" s="18"/>
      <c r="P3" s="137"/>
      <c r="Q3" s="82" t="s">
        <v>7</v>
      </c>
      <c r="R3" s="82" t="s">
        <v>7</v>
      </c>
      <c r="S3" s="82" t="s">
        <v>7</v>
      </c>
      <c r="T3" s="1"/>
      <c r="U3" s="150"/>
      <c r="V3" s="82" t="s">
        <v>7</v>
      </c>
      <c r="W3" s="82" t="s">
        <v>7</v>
      </c>
      <c r="X3" s="82" t="s">
        <v>7</v>
      </c>
      <c r="Y3" s="82" t="s">
        <v>7</v>
      </c>
      <c r="Z3" s="82" t="s">
        <v>7</v>
      </c>
      <c r="AA3" s="82" t="s">
        <v>7</v>
      </c>
      <c r="AC3" s="174"/>
      <c r="AD3" s="82" t="s">
        <v>46</v>
      </c>
      <c r="AE3" s="82" t="s">
        <v>7</v>
      </c>
      <c r="AF3" s="82" t="s">
        <v>7</v>
      </c>
      <c r="AH3" s="150"/>
      <c r="AI3" s="82" t="s">
        <v>46</v>
      </c>
      <c r="AJ3" s="82" t="s">
        <v>46</v>
      </c>
      <c r="AK3" s="82" t="s">
        <v>46</v>
      </c>
      <c r="AL3" s="82" t="s">
        <v>7</v>
      </c>
      <c r="AM3" s="82" t="s">
        <v>7</v>
      </c>
      <c r="AN3" s="18"/>
      <c r="AO3" s="137"/>
      <c r="AP3" s="82" t="s">
        <v>46</v>
      </c>
      <c r="AQ3" s="82" t="s">
        <v>7</v>
      </c>
      <c r="AR3" s="85"/>
      <c r="AS3" s="137"/>
      <c r="AT3" s="82" t="s">
        <v>46</v>
      </c>
      <c r="AU3" s="82" t="s">
        <v>7</v>
      </c>
      <c r="AV3" s="82" t="s">
        <v>46</v>
      </c>
      <c r="AW3" s="82" t="s">
        <v>7</v>
      </c>
      <c r="AX3" s="82" t="s">
        <v>46</v>
      </c>
      <c r="AY3" s="82" t="s">
        <v>7</v>
      </c>
      <c r="AZ3" s="82" t="s">
        <v>46</v>
      </c>
      <c r="BA3" s="82" t="s">
        <v>7</v>
      </c>
      <c r="BB3" s="18"/>
      <c r="BC3" s="150"/>
      <c r="BD3" s="82" t="s">
        <v>7</v>
      </c>
      <c r="BE3" s="82" t="s">
        <v>7</v>
      </c>
      <c r="BF3" s="82" t="s">
        <v>17</v>
      </c>
      <c r="BG3" s="64"/>
      <c r="BH3" s="150"/>
      <c r="BI3" s="82" t="s">
        <v>7</v>
      </c>
      <c r="BJ3" s="82" t="s">
        <v>7</v>
      </c>
      <c r="BK3" s="82" t="s">
        <v>17</v>
      </c>
      <c r="BL3" s="64"/>
      <c r="BM3" s="137"/>
      <c r="BN3" s="82" t="s">
        <v>7</v>
      </c>
      <c r="BO3" s="86" t="s">
        <v>17</v>
      </c>
      <c r="BP3" s="82" t="s">
        <v>7</v>
      </c>
      <c r="BQ3" s="86" t="s">
        <v>17</v>
      </c>
      <c r="BR3" s="82" t="s">
        <v>7</v>
      </c>
      <c r="BS3" s="86" t="s">
        <v>17</v>
      </c>
      <c r="BU3" s="150"/>
      <c r="BV3" s="82" t="s">
        <v>58</v>
      </c>
      <c r="BW3" s="82" t="s">
        <v>58</v>
      </c>
      <c r="BY3" s="26" t="s">
        <v>78</v>
      </c>
      <c r="BZ3" s="184">
        <v>3</v>
      </c>
      <c r="CA3" s="185"/>
      <c r="CC3" s="150"/>
      <c r="CD3" s="82" t="s">
        <v>58</v>
      </c>
      <c r="CE3" s="82" t="s">
        <v>46</v>
      </c>
      <c r="CF3" s="82" t="s">
        <v>46</v>
      </c>
      <c r="CG3" s="82" t="s">
        <v>46</v>
      </c>
      <c r="CH3" s="82" t="s">
        <v>58</v>
      </c>
      <c r="CI3" s="82" t="s">
        <v>46</v>
      </c>
      <c r="CJ3" s="82" t="s">
        <v>58</v>
      </c>
      <c r="CK3" s="82" t="s">
        <v>58</v>
      </c>
      <c r="CM3" s="1"/>
      <c r="CN3" s="150"/>
      <c r="CO3" s="4" t="s">
        <v>46</v>
      </c>
      <c r="CP3" s="4" t="s">
        <v>46</v>
      </c>
      <c r="CQ3" s="4" t="s">
        <v>46</v>
      </c>
      <c r="CR3" s="4" t="s">
        <v>58</v>
      </c>
      <c r="CS3" s="3" t="s">
        <v>17</v>
      </c>
      <c r="CT3" s="1"/>
      <c r="CU3" s="150"/>
      <c r="CV3" s="27" t="s">
        <v>7</v>
      </c>
      <c r="CW3" s="1"/>
      <c r="CY3" s="137"/>
      <c r="CZ3" s="27" t="s">
        <v>7</v>
      </c>
      <c r="DA3" s="27" t="s">
        <v>7</v>
      </c>
      <c r="DB3" s="27" t="s">
        <v>7</v>
      </c>
      <c r="DC3" s="27" t="s">
        <v>7</v>
      </c>
    </row>
    <row r="4" spans="1:107" x14ac:dyDescent="0.25">
      <c r="B4" s="150"/>
      <c r="C4" s="82" t="s">
        <v>7</v>
      </c>
      <c r="D4" s="82" t="s">
        <v>7</v>
      </c>
      <c r="E4" s="82" t="s">
        <v>7</v>
      </c>
      <c r="F4" s="82" t="s">
        <v>17</v>
      </c>
      <c r="G4" s="82" t="s">
        <v>17</v>
      </c>
      <c r="I4" s="6">
        <f>Q!$B$1-5</f>
        <v>2015</v>
      </c>
      <c r="J4" s="104">
        <v>0</v>
      </c>
      <c r="K4" s="104">
        <v>5</v>
      </c>
      <c r="L4" s="1"/>
      <c r="M4" s="6">
        <f>Q!$B$1-5</f>
        <v>2015</v>
      </c>
      <c r="N4" s="104">
        <v>58</v>
      </c>
      <c r="O4" s="18"/>
      <c r="P4" s="6">
        <f>Q!$B$1-5</f>
        <v>2015</v>
      </c>
      <c r="Q4" s="104">
        <v>12</v>
      </c>
      <c r="R4" s="104">
        <v>19</v>
      </c>
      <c r="S4" s="29">
        <f>IF(SUM(Q4,R4)=0,"-",SUM(Q4,R4))</f>
        <v>31</v>
      </c>
      <c r="T4" s="1"/>
      <c r="U4" s="6">
        <f>Q!$B$1-5</f>
        <v>2015</v>
      </c>
      <c r="V4" s="104">
        <v>178</v>
      </c>
      <c r="W4" s="32">
        <v>14</v>
      </c>
      <c r="X4" s="32">
        <v>189</v>
      </c>
      <c r="Y4" s="32">
        <v>413</v>
      </c>
      <c r="Z4" s="32">
        <v>0</v>
      </c>
      <c r="AA4" s="32">
        <v>0</v>
      </c>
      <c r="AC4" s="6">
        <f>Q!$B$1-5</f>
        <v>2015</v>
      </c>
      <c r="AD4" s="104">
        <v>3</v>
      </c>
      <c r="AE4" s="16">
        <v>128</v>
      </c>
      <c r="AF4" s="114">
        <f>IF(ISERR((AE4/AD4)),"-",(AE4/AD4))</f>
        <v>42.666666666666664</v>
      </c>
      <c r="AH4" s="6">
        <f>Q!$B$1-5</f>
        <v>2015</v>
      </c>
      <c r="AI4" s="104">
        <v>0</v>
      </c>
      <c r="AJ4" s="104">
        <v>3</v>
      </c>
      <c r="AK4" s="104">
        <v>2</v>
      </c>
      <c r="AL4" s="16">
        <v>10817</v>
      </c>
      <c r="AM4" s="16"/>
      <c r="AN4" s="18"/>
      <c r="AO4" s="6">
        <f>Q!$B$1-5</f>
        <v>2015</v>
      </c>
      <c r="AP4" s="16">
        <v>24</v>
      </c>
      <c r="AQ4" s="16">
        <v>23</v>
      </c>
      <c r="AR4" s="18"/>
      <c r="AS4" s="6">
        <f>Q!$B$1-5</f>
        <v>2015</v>
      </c>
      <c r="AT4" s="104">
        <v>0</v>
      </c>
      <c r="AU4" s="104">
        <v>0</v>
      </c>
      <c r="AV4" s="104" t="str">
        <f>_xlfn.IFNA(IF(ISBLANK(HLOOKUP($I4,Q!$B$11:$R$144,(MATCH("125" &amp; "*",Q!$A$12:$A$144,FALSE)+1))),Q!$B$2,HLOOKUP($I4,Q!$B$11:$R$144,(MATCH("125"&amp;"*",Q!$A$12:$A$144,FALSE)+1))),Q!$B$2)</f>
        <v>n.a.</v>
      </c>
      <c r="AW4" s="104" t="str">
        <f>_xlfn.IFNA(IF(ISBLANK(HLOOKUP($I4,Q!$B$11:$R$144,(MATCH("121" &amp; "*",Q!$A$12:$A$144,FALSE)+1))),Q!$B$2,HLOOKUP($I4,Q!$B$11:$R$144,(MATCH("121"&amp;"*",Q!$A$12:$A$144,FALSE)+1))),Q!$B$2)</f>
        <v>n.a.</v>
      </c>
      <c r="AX4" s="104" t="str">
        <f>_xlfn.IFNA(IF(ISBLANK(HLOOKUP($I4,Q!$B$11:$R$144,(MATCH("127" &amp; "*",Q!$A$12:$A$144,FALSE)+1))),Q!$B$2,HLOOKUP($I4,Q!$B$11:$R$144,(MATCH("127"&amp;"*",Q!$A$12:$A$144,FALSE)+1))),Q!$B$2)</f>
        <v>n.a.</v>
      </c>
      <c r="AY4" s="104" t="str">
        <f>_xlfn.IFNA(IF(ISBLANK(HLOOKUP($I4,Q!$B$11:$R$144,(MATCH("123" &amp; "*",Q!$A$12:$A$144,FALSE)+1))),Q!$B$2,HLOOKUP($I4,Q!$B$11:$R$144,(MATCH("123"&amp;"*",Q!$A$12:$A$144,FALSE)+1))),Q!$B$2)</f>
        <v>n.a.</v>
      </c>
      <c r="AZ4" s="104">
        <v>41</v>
      </c>
      <c r="BA4" s="104" t="str">
        <f>_xlfn.IFNA(IF(ISBLANK(HLOOKUP($I4,Q!$B$11:$R$144,(MATCH("120" &amp; "*",Q!$A$12:$A$144,FALSE)+1))),Q!$B$2,HLOOKUP($I4,Q!$B$11:$R$144,(MATCH("120"&amp;"*",Q!$A$12:$A$144,FALSE)+1))),Q!$B$2)</f>
        <v>n.a.</v>
      </c>
      <c r="BB4" s="18"/>
      <c r="BC4" s="6">
        <f>Q!$B$1-5</f>
        <v>2015</v>
      </c>
      <c r="BD4" s="104">
        <v>370</v>
      </c>
      <c r="BE4" s="104">
        <v>2</v>
      </c>
      <c r="BF4" s="101">
        <v>5.0000000000000001E-3</v>
      </c>
      <c r="BG4" s="64"/>
      <c r="BH4" s="6">
        <f>Q!$B$1-5</f>
        <v>2015</v>
      </c>
      <c r="BI4" s="16">
        <v>547</v>
      </c>
      <c r="BJ4" s="104">
        <v>19</v>
      </c>
      <c r="BK4" s="101">
        <v>3.4700000000000002E-2</v>
      </c>
      <c r="BL4" s="64"/>
      <c r="BM4" s="6">
        <f>Q!$B$1-5</f>
        <v>2015</v>
      </c>
      <c r="BN4" s="104">
        <v>0</v>
      </c>
      <c r="BO4" s="101" t="str">
        <f>IFERROR(_xlfn.IFNA(IF(ISBLANK(HLOOKUP($BC4,Q!$B$11:$R$144,(MATCH("097" &amp; "*",Q!$A$12:$A$144,FALSE)+1))),Q!$B$2,HLOOKUP($BC4,Q!$B$11:$R$144,(MATCH("097"&amp;"*",Q!$A$12:$A$144,FALSE)+1))),Q!$B$2)/100,"-")</f>
        <v>-</v>
      </c>
      <c r="BP4" s="104">
        <v>0</v>
      </c>
      <c r="BQ4" s="101" t="str">
        <f>IFERROR(_xlfn.IFNA(IF(ISBLANK(HLOOKUP($BC4,Q!$B$11:$R$144,(MATCH("099" &amp; "*",Q!$A$12:$A$144,FALSE)+1))),Q!$B$2,HLOOKUP($BC4,Q!$B$11:$R$144,(MATCH("099"&amp;"*",Q!$A$12:$A$144,FALSE)+1))),Q!$B$2)/100,"-")</f>
        <v>-</v>
      </c>
      <c r="BR4" s="104">
        <v>0</v>
      </c>
      <c r="BS4" s="101" t="str">
        <f>IFERROR(_xlfn.IFNA(IF(ISBLANK(HLOOKUP($BC3,Q!$B$11:$R$144,(MATCH("101" &amp; "*",Q!$A$12:$A$144,FALSE)+1))),Q!$B$2,HLOOKUP($BC3,Q!$B$11:$R$144,(MATCH("101"&amp;"*",Q!$A$12:$A$144,FALSE)+1))),Q!$B$2)/100,"-")</f>
        <v>-</v>
      </c>
      <c r="BU4" s="6">
        <f>Q!$B$1-5</f>
        <v>2015</v>
      </c>
      <c r="BV4" s="104">
        <v>0</v>
      </c>
      <c r="BW4" s="104">
        <v>0</v>
      </c>
      <c r="BY4" s="26" t="s">
        <v>79</v>
      </c>
      <c r="BZ4" s="184">
        <v>1</v>
      </c>
      <c r="CA4" s="185"/>
      <c r="CC4" s="6">
        <f>Q!$B$1-5</f>
        <v>2015</v>
      </c>
      <c r="CD4" s="16" t="s">
        <v>255</v>
      </c>
      <c r="CE4" s="104">
        <v>14</v>
      </c>
      <c r="CF4" s="104">
        <v>388</v>
      </c>
      <c r="CG4" s="104">
        <v>4</v>
      </c>
      <c r="CH4" s="104">
        <v>370</v>
      </c>
      <c r="CI4" s="104" t="str">
        <f>_xlfn.IFNA(IF(ISBLANK(HLOOKUP($I4,Q!$B$11:$R$144,(MATCH("086" &amp; "*",Q!$A$12:$A$144,FALSE)+1))),Q!$B$2,HLOOKUP($I4,Q!$B$11:$R$144,(MATCH("086"&amp;"*",Q!$A$12:$A$144,FALSE)+1))),Q!$B$2)</f>
        <v>n.a.</v>
      </c>
      <c r="CJ4" s="104" t="str">
        <f>_xlfn.IFNA(IF(ISBLANK(HLOOKUP($I4,Q!$B$11:$R$144,(MATCH("091" &amp; "*",Q!$A$12:$A$144,FALSE)+1))),Q!$B$2,HLOOKUP($I4,Q!$B$11:$R$144,(MATCH("091"&amp;"*",Q!$A$12:$A$144,FALSE)+1))),Q!$B$2)</f>
        <v>n.a.</v>
      </c>
      <c r="CK4" s="104">
        <v>26.43</v>
      </c>
      <c r="CM4" s="1"/>
      <c r="CN4" s="6" t="str">
        <f>CONCATENATE(Q!$B$1-6,"/",Q!$B$1-5)</f>
        <v>2014/2015</v>
      </c>
      <c r="CO4" s="127">
        <v>313</v>
      </c>
      <c r="CP4" s="104">
        <v>23</v>
      </c>
      <c r="CQ4" s="104">
        <v>1</v>
      </c>
      <c r="CR4" s="104">
        <v>23.78</v>
      </c>
      <c r="CS4" s="101">
        <v>1.0999999999999999E-2</v>
      </c>
      <c r="CT4" s="1"/>
      <c r="CU4" s="6" t="str">
        <f>CONCATENATE(Q!$B$1-6,"/",Q!$B$1-5)</f>
        <v>2014/2015</v>
      </c>
      <c r="CV4" s="104">
        <v>33</v>
      </c>
      <c r="CW4" s="1"/>
      <c r="CY4" s="6">
        <f>Q!$B$1-5</f>
        <v>2015</v>
      </c>
      <c r="CZ4" s="48"/>
      <c r="DA4" s="48"/>
      <c r="DB4" s="48"/>
      <c r="DC4" s="104" t="str">
        <f>_xlfn.IFNA(IF(ISBLANK(HLOOKUP($I4,Q!$B$11:$R$144,(MATCH("112" &amp; "*",Q!$A$12:$A$144,FALSE)+1))),Q!$B$2,HLOOKUP($I4,Q!$B$11:$R$144,(MATCH("112"&amp;"*",Q!$A$12:$A$144,FALSE)+1))),Q!$B$2)</f>
        <v>n.a.</v>
      </c>
    </row>
    <row r="5" spans="1:107" x14ac:dyDescent="0.25">
      <c r="B5" s="6" t="s">
        <v>96</v>
      </c>
      <c r="C5" s="16">
        <f>'Település Bemutatása - Népesség'!G4</f>
        <v>4095</v>
      </c>
      <c r="D5" s="16">
        <f>'Település Bemutatása - Népesség'!H4</f>
        <v>4312</v>
      </c>
      <c r="E5" s="106">
        <f>IF(SUM(C5,D5)=0,"-",SUM(C5,D5))</f>
        <v>8407</v>
      </c>
      <c r="F5" s="107">
        <f>'Település Bemutatása - Népesség'!J4</f>
        <v>0.48709408825978351</v>
      </c>
      <c r="G5" s="107">
        <f>'Település Bemutatása - Népesség'!K4</f>
        <v>0.51290591174021649</v>
      </c>
      <c r="I5" s="6">
        <f>Q!$B$1-4</f>
        <v>2016</v>
      </c>
      <c r="J5" s="104">
        <v>0</v>
      </c>
      <c r="K5" s="104">
        <v>2</v>
      </c>
      <c r="L5" s="1"/>
      <c r="M5" s="6">
        <f>Q!$B$1-4</f>
        <v>2016</v>
      </c>
      <c r="N5" s="104">
        <v>48</v>
      </c>
      <c r="O5" s="18"/>
      <c r="P5" s="6">
        <f>Q!$B$1-4</f>
        <v>2016</v>
      </c>
      <c r="Q5" s="104">
        <v>13</v>
      </c>
      <c r="R5" s="104">
        <v>20</v>
      </c>
      <c r="S5" s="29">
        <f t="shared" ref="S5:S10" si="0">IF(SUM(Q5,R5)=0,"-",SUM(Q5,R5))</f>
        <v>33</v>
      </c>
      <c r="T5" s="1"/>
      <c r="U5" s="6">
        <f>Q!$B$1-4</f>
        <v>2016</v>
      </c>
      <c r="V5" s="32">
        <v>175</v>
      </c>
      <c r="W5" s="32">
        <v>17</v>
      </c>
      <c r="X5" s="32">
        <v>195</v>
      </c>
      <c r="Y5" s="32">
        <v>466</v>
      </c>
      <c r="Z5" s="32">
        <v>0</v>
      </c>
      <c r="AA5" s="32">
        <v>129</v>
      </c>
      <c r="AC5" s="6">
        <f>Q!$B$1-4</f>
        <v>2016</v>
      </c>
      <c r="AD5" s="104">
        <v>4</v>
      </c>
      <c r="AE5" s="16">
        <v>446</v>
      </c>
      <c r="AF5" s="114">
        <f t="shared" ref="AF5:AF11" si="1">IF(ISERR((AE5/AD5)),"-",(AE5/AD5))</f>
        <v>111.5</v>
      </c>
      <c r="AH5" s="6">
        <f>Q!$B$1-4</f>
        <v>2016</v>
      </c>
      <c r="AI5" s="104">
        <v>0</v>
      </c>
      <c r="AJ5" s="104">
        <v>3</v>
      </c>
      <c r="AK5" s="104">
        <v>2</v>
      </c>
      <c r="AL5" s="16">
        <v>17858</v>
      </c>
      <c r="AM5" s="16"/>
      <c r="AN5" s="18"/>
      <c r="AO5" s="6">
        <f>Q!$B$1-4</f>
        <v>2016</v>
      </c>
      <c r="AP5" s="16">
        <v>24</v>
      </c>
      <c r="AQ5" s="16">
        <v>23</v>
      </c>
      <c r="AR5" s="18"/>
      <c r="AS5" s="6">
        <f>Q!$B$1-4</f>
        <v>2016</v>
      </c>
      <c r="AT5" s="104">
        <v>0</v>
      </c>
      <c r="AU5" s="104">
        <v>0</v>
      </c>
      <c r="AV5" s="104" t="str">
        <f>_xlfn.IFNA(IF(ISBLANK(HLOOKUP($I5,Q!$B$11:$R$144,(MATCH("125" &amp; "*",Q!$A$12:$A$144,FALSE)+1))),Q!$B$2,HLOOKUP($I5,Q!$B$11:$R$144,(MATCH("125"&amp;"*",Q!$A$12:$A$144,FALSE)+1))),Q!$B$2)</f>
        <v>n.a.</v>
      </c>
      <c r="AW5" s="104" t="str">
        <f>_xlfn.IFNA(IF(ISBLANK(HLOOKUP($I5,Q!$B$11:$R$144,(MATCH("121" &amp; "*",Q!$A$12:$A$144,FALSE)+1))),Q!$B$2,HLOOKUP($I5,Q!$B$11:$R$144,(MATCH("121"&amp;"*",Q!$A$12:$A$144,FALSE)+1))),Q!$B$2)</f>
        <v>n.a.</v>
      </c>
      <c r="AX5" s="104" t="str">
        <f>_xlfn.IFNA(IF(ISBLANK(HLOOKUP($I5,Q!$B$11:$R$144,(MATCH("127" &amp; "*",Q!$A$12:$A$144,FALSE)+1))),Q!$B$2,HLOOKUP($I5,Q!$B$11:$R$144,(MATCH("127"&amp;"*",Q!$A$12:$A$144,FALSE)+1))),Q!$B$2)</f>
        <v>n.a.</v>
      </c>
      <c r="AY5" s="104" t="str">
        <f>_xlfn.IFNA(IF(ISBLANK(HLOOKUP($I5,Q!$B$11:$R$144,(MATCH("123" &amp; "*",Q!$A$12:$A$144,FALSE)+1))),Q!$B$2,HLOOKUP($I5,Q!$B$11:$R$144,(MATCH("123"&amp;"*",Q!$A$12:$A$144,FALSE)+1))),Q!$B$2)</f>
        <v>n.a.</v>
      </c>
      <c r="AZ5" s="104">
        <v>48</v>
      </c>
      <c r="BA5" s="104" t="str">
        <f>_xlfn.IFNA(IF(ISBLANK(HLOOKUP($I5,Q!$B$11:$R$144,(MATCH("120" &amp; "*",Q!$A$12:$A$144,FALSE)+1))),Q!$B$2,HLOOKUP($I5,Q!$B$11:$R$144,(MATCH("120"&amp;"*",Q!$A$12:$A$144,FALSE)+1))),Q!$B$2)</f>
        <v>n.a.</v>
      </c>
      <c r="BB5" s="18"/>
      <c r="BC5" s="6">
        <f>Q!$B$1-4</f>
        <v>2016</v>
      </c>
      <c r="BD5" s="104">
        <v>422</v>
      </c>
      <c r="BE5" s="104">
        <v>6</v>
      </c>
      <c r="BF5" s="101">
        <v>1.4200000000000001E-2</v>
      </c>
      <c r="BG5" s="64"/>
      <c r="BH5" s="6">
        <f>Q!$B$1-4</f>
        <v>2016</v>
      </c>
      <c r="BI5" s="16">
        <v>555</v>
      </c>
      <c r="BJ5" s="104">
        <v>3</v>
      </c>
      <c r="BK5" s="101">
        <v>5.4000000000000003E-3</v>
      </c>
      <c r="BL5" s="64"/>
      <c r="BM5" s="6">
        <f>Q!$B$1-4</f>
        <v>2016</v>
      </c>
      <c r="BN5" s="104">
        <v>0</v>
      </c>
      <c r="BO5" s="101" t="str">
        <f>IFERROR(_xlfn.IFNA(IF(ISBLANK(HLOOKUP($BC5,Q!$B$11:$R$144,(MATCH("097" &amp; "*",Q!$A$12:$A$144,FALSE)+1))),Q!$B$2,HLOOKUP($BC5,Q!$B$11:$R$144,(MATCH("097"&amp;"*",Q!$A$12:$A$144,FALSE)+1))),Q!$B$2)/100,"-")</f>
        <v>-</v>
      </c>
      <c r="BP5" s="104">
        <v>0</v>
      </c>
      <c r="BQ5" s="101" t="str">
        <f>IFERROR(_xlfn.IFNA(IF(ISBLANK(HLOOKUP($BC5,Q!$B$11:$R$144,(MATCH("099" &amp; "*",Q!$A$12:$A$144,FALSE)+1))),Q!$B$2,HLOOKUP($BC5,Q!$B$11:$R$144,(MATCH("099"&amp;"*",Q!$A$12:$A$144,FALSE)+1))),Q!$B$2)/100,"-")</f>
        <v>-</v>
      </c>
      <c r="BR5" s="104">
        <v>0</v>
      </c>
      <c r="BS5" s="101" t="str">
        <f>IFERROR(_xlfn.IFNA(IF(ISBLANK(HLOOKUP($BC4,Q!$B$11:$R$144,(MATCH("101" &amp; "*",Q!$A$12:$A$144,FALSE)+1))),Q!$B$2,HLOOKUP($BC4,Q!$B$11:$R$144,(MATCH("101"&amp;"*",Q!$A$12:$A$144,FALSE)+1))),Q!$B$2)/100,"-")</f>
        <v>-</v>
      </c>
      <c r="BU5" s="6">
        <f>Q!$B$1-4</f>
        <v>2016</v>
      </c>
      <c r="BV5" s="104">
        <v>4</v>
      </c>
      <c r="BW5" s="104">
        <v>0</v>
      </c>
      <c r="BY5" s="26" t="s">
        <v>80</v>
      </c>
      <c r="BZ5" s="184">
        <v>360</v>
      </c>
      <c r="CA5" s="185"/>
      <c r="CC5" s="6">
        <f>Q!$B$1-4</f>
        <v>2016</v>
      </c>
      <c r="CD5" s="16">
        <v>486</v>
      </c>
      <c r="CE5" s="104">
        <v>17</v>
      </c>
      <c r="CF5" s="104">
        <v>465</v>
      </c>
      <c r="CG5" s="104">
        <v>5</v>
      </c>
      <c r="CH5" s="104">
        <v>422</v>
      </c>
      <c r="CI5" s="104" t="str">
        <f>_xlfn.IFNA(IF(ISBLANK(HLOOKUP($I5,Q!$B$11:$R$144,(MATCH("086" &amp; "*",Q!$A$12:$A$144,FALSE)+1))),Q!$B$2,HLOOKUP($I5,Q!$B$11:$R$144,(MATCH("086"&amp;"*",Q!$A$12:$A$144,FALSE)+1))),Q!$B$2)</f>
        <v>n.a.</v>
      </c>
      <c r="CJ5" s="104" t="str">
        <f>_xlfn.IFNA(IF(ISBLANK(HLOOKUP($I5,Q!$B$11:$R$144,(MATCH("091" &amp; "*",Q!$A$12:$A$144,FALSE)+1))),Q!$B$2,HLOOKUP($I5,Q!$B$11:$R$144,(MATCH("091"&amp;"*",Q!$A$12:$A$144,FALSE)+1))),Q!$B$2)</f>
        <v>n.a.</v>
      </c>
      <c r="CK5" s="104">
        <v>24.82</v>
      </c>
      <c r="CM5" s="1"/>
      <c r="CN5" s="6" t="str">
        <f>CONCATENATE(Q!$B$1-5,"/",Q!$B$1-4)</f>
        <v>2015/2016</v>
      </c>
      <c r="CO5" s="127">
        <v>344</v>
      </c>
      <c r="CP5" s="104">
        <v>24</v>
      </c>
      <c r="CQ5" s="104">
        <v>1</v>
      </c>
      <c r="CR5" s="104">
        <v>23.13</v>
      </c>
      <c r="CS5" s="101">
        <v>3.0599999999999999E-2</v>
      </c>
      <c r="CT5" s="1"/>
      <c r="CU5" s="6" t="str">
        <f>CONCATENATE(Q!$B$1-5,"/",Q!$B$1-4)</f>
        <v>2015/2016</v>
      </c>
      <c r="CV5" s="104">
        <v>43</v>
      </c>
      <c r="CW5" s="1"/>
      <c r="CY5" s="6">
        <f>Q!$B$1-4</f>
        <v>2016</v>
      </c>
      <c r="CZ5" s="48"/>
      <c r="DA5" s="48"/>
      <c r="DB5" s="48"/>
      <c r="DC5" s="104">
        <v>137</v>
      </c>
    </row>
    <row r="6" spans="1:107" ht="27.75" customHeight="1" x14ac:dyDescent="0.25">
      <c r="B6" s="6" t="s">
        <v>98</v>
      </c>
      <c r="C6" s="171"/>
      <c r="D6" s="172"/>
      <c r="E6" s="16">
        <f>'Település Bemutatása - Népesség'!I5</f>
        <v>266</v>
      </c>
      <c r="F6" s="169">
        <f>'Település Bemutatása - Népesség'!J5</f>
        <v>3.1640299750208163E-2</v>
      </c>
      <c r="G6" s="170"/>
      <c r="I6" s="6">
        <f>Q!$B$1-3</f>
        <v>2017</v>
      </c>
      <c r="J6" s="104">
        <v>1</v>
      </c>
      <c r="K6" s="104">
        <v>3</v>
      </c>
      <c r="L6" s="1"/>
      <c r="M6" s="6">
        <f>Q!$B$1-3</f>
        <v>2017</v>
      </c>
      <c r="N6" s="104">
        <v>29.5</v>
      </c>
      <c r="O6" s="18"/>
      <c r="P6" s="6">
        <f>Q!$B$1-3</f>
        <v>2017</v>
      </c>
      <c r="Q6" s="104">
        <v>12</v>
      </c>
      <c r="R6" s="104">
        <v>18</v>
      </c>
      <c r="S6" s="29">
        <f t="shared" si="0"/>
        <v>30</v>
      </c>
      <c r="T6" s="1"/>
      <c r="U6" s="6">
        <f>Q!$B$1-3</f>
        <v>2017</v>
      </c>
      <c r="V6" s="32">
        <v>183</v>
      </c>
      <c r="W6" s="32">
        <v>13</v>
      </c>
      <c r="X6" s="32">
        <v>205</v>
      </c>
      <c r="Y6" s="32">
        <v>571</v>
      </c>
      <c r="Z6" s="32">
        <v>0</v>
      </c>
      <c r="AA6" s="32">
        <v>118</v>
      </c>
      <c r="AC6" s="6">
        <f>Q!$B$1-3</f>
        <v>2017</v>
      </c>
      <c r="AD6" s="104">
        <v>4</v>
      </c>
      <c r="AE6" s="16">
        <v>393</v>
      </c>
      <c r="AF6" s="114">
        <f t="shared" si="1"/>
        <v>98.25</v>
      </c>
      <c r="AH6" s="6">
        <f>Q!$B$1-3</f>
        <v>2017</v>
      </c>
      <c r="AI6" s="104">
        <v>0</v>
      </c>
      <c r="AJ6" s="104">
        <v>3</v>
      </c>
      <c r="AK6" s="104">
        <v>2</v>
      </c>
      <c r="AL6" s="16">
        <v>16078</v>
      </c>
      <c r="AM6" s="16"/>
      <c r="AN6" s="18"/>
      <c r="AO6" s="6">
        <f>Q!$B$1-3</f>
        <v>2017</v>
      </c>
      <c r="AP6" s="16">
        <v>24</v>
      </c>
      <c r="AQ6" s="16">
        <v>23</v>
      </c>
      <c r="AR6" s="18"/>
      <c r="AS6" s="6">
        <f>Q!$B$1-3</f>
        <v>2017</v>
      </c>
      <c r="AT6" s="104">
        <v>0</v>
      </c>
      <c r="AU6" s="104">
        <v>0</v>
      </c>
      <c r="AV6" s="104">
        <v>5</v>
      </c>
      <c r="AW6" s="104">
        <v>5</v>
      </c>
      <c r="AX6" s="104">
        <v>14</v>
      </c>
      <c r="AY6" s="104">
        <v>14</v>
      </c>
      <c r="AZ6" s="104">
        <v>46</v>
      </c>
      <c r="BA6" s="104">
        <v>22</v>
      </c>
      <c r="BB6" s="18"/>
      <c r="BC6" s="6">
        <f>Q!$B$1-3</f>
        <v>2017</v>
      </c>
      <c r="BD6" s="104">
        <v>438</v>
      </c>
      <c r="BE6" s="104">
        <v>0</v>
      </c>
      <c r="BF6" s="101">
        <v>0</v>
      </c>
      <c r="BG6" s="64"/>
      <c r="BH6" s="6">
        <f>Q!$B$1-3</f>
        <v>2017</v>
      </c>
      <c r="BI6" s="16">
        <v>583</v>
      </c>
      <c r="BJ6" s="104">
        <v>3</v>
      </c>
      <c r="BK6" s="101">
        <v>5.1000000000000004E-3</v>
      </c>
      <c r="BL6" s="64"/>
      <c r="BM6" s="6">
        <f>Q!$B$1-3</f>
        <v>2017</v>
      </c>
      <c r="BN6" s="104">
        <v>0</v>
      </c>
      <c r="BO6" s="101" t="str">
        <f>IFERROR(_xlfn.IFNA(IF(ISBLANK(HLOOKUP($BC6,Q!$B$11:$R$144,(MATCH("097" &amp; "*",Q!$A$12:$A$144,FALSE)+1))),Q!$B$2,HLOOKUP($BC6,Q!$B$11:$R$144,(MATCH("097"&amp;"*",Q!$A$12:$A$144,FALSE)+1))),Q!$B$2)/100,"-")</f>
        <v>-</v>
      </c>
      <c r="BP6" s="104">
        <v>0</v>
      </c>
      <c r="BQ6" s="101" t="str">
        <f>IFERROR(_xlfn.IFNA(IF(ISBLANK(HLOOKUP($BC6,Q!$B$11:$R$144,(MATCH("099" &amp; "*",Q!$A$12:$A$144,FALSE)+1))),Q!$B$2,HLOOKUP($BC6,Q!$B$11:$R$144,(MATCH("099"&amp;"*",Q!$A$12:$A$144,FALSE)+1))),Q!$B$2)/100,"-")</f>
        <v>-</v>
      </c>
      <c r="BR6" s="104">
        <v>0</v>
      </c>
      <c r="BS6" s="101" t="str">
        <f>IFERROR(_xlfn.IFNA(IF(ISBLANK(HLOOKUP($BC5,Q!$B$11:$R$144,(MATCH("101" &amp; "*",Q!$A$12:$A$144,FALSE)+1))),Q!$B$2,HLOOKUP($BC5,Q!$B$11:$R$144,(MATCH("101"&amp;"*",Q!$A$12:$A$144,FALSE)+1))),Q!$B$2)/100,"-")</f>
        <v>-</v>
      </c>
      <c r="BU6" s="6">
        <f>Q!$B$1-3</f>
        <v>2017</v>
      </c>
      <c r="BV6" s="104">
        <v>3</v>
      </c>
      <c r="BW6" s="104">
        <v>0</v>
      </c>
      <c r="BY6" s="49" t="s">
        <v>81</v>
      </c>
      <c r="BZ6" s="184">
        <v>13</v>
      </c>
      <c r="CA6" s="185"/>
      <c r="CC6" s="6">
        <f>Q!$B$1-3</f>
        <v>2017</v>
      </c>
      <c r="CD6" s="16">
        <v>497</v>
      </c>
      <c r="CE6" s="104">
        <v>17</v>
      </c>
      <c r="CF6" s="104">
        <v>465</v>
      </c>
      <c r="CG6" s="104">
        <v>5</v>
      </c>
      <c r="CH6" s="104">
        <v>438</v>
      </c>
      <c r="CI6" s="104" t="str">
        <f>_xlfn.IFNA(IF(ISBLANK(HLOOKUP($I6,Q!$B$11:$R$144,(MATCH("086" &amp; "*",Q!$A$12:$A$144,FALSE)+1))),Q!$B$2,HLOOKUP($I6,Q!$B$11:$R$144,(MATCH("086"&amp;"*",Q!$A$12:$A$144,FALSE)+1))),Q!$B$2)</f>
        <v>n.a.</v>
      </c>
      <c r="CJ6" s="104" t="str">
        <f>_xlfn.IFNA(IF(ISBLANK(HLOOKUP($I6,Q!$B$11:$R$144,(MATCH("091" &amp; "*",Q!$A$12:$A$144,FALSE)+1))),Q!$B$2,HLOOKUP($I6,Q!$B$11:$R$144,(MATCH("091"&amp;"*",Q!$A$12:$A$144,FALSE)+1))),Q!$B$2)</f>
        <v>n.a.</v>
      </c>
      <c r="CK6" s="104">
        <v>25.76</v>
      </c>
      <c r="CM6" s="1"/>
      <c r="CN6" s="6" t="str">
        <f>CONCATENATE(Q!$B$1-4,"/",Q!$B$1-3)</f>
        <v>2016/2017</v>
      </c>
      <c r="CO6" s="104">
        <v>348</v>
      </c>
      <c r="CP6" s="104">
        <v>24</v>
      </c>
      <c r="CQ6" s="104">
        <v>1</v>
      </c>
      <c r="CR6" s="104">
        <v>24.29</v>
      </c>
      <c r="CS6" s="101">
        <v>3.09E-2</v>
      </c>
      <c r="CT6" s="1"/>
      <c r="CU6" s="6" t="str">
        <f>CONCATENATE(Q!$B$1-4,"/",Q!$B$1-3)</f>
        <v>2016/2017</v>
      </c>
      <c r="CV6" s="104">
        <v>41</v>
      </c>
      <c r="CW6" s="1"/>
      <c r="CY6" s="6">
        <f>Q!$B$1-3</f>
        <v>2017</v>
      </c>
      <c r="CZ6" s="48"/>
      <c r="DA6" s="48"/>
      <c r="DB6" s="48"/>
      <c r="DC6" s="104">
        <v>115</v>
      </c>
    </row>
    <row r="7" spans="1:107" x14ac:dyDescent="0.25">
      <c r="B7" s="8" t="s">
        <v>200</v>
      </c>
      <c r="C7" s="16">
        <f>'Település Bemutatása - Népesség'!G6</f>
        <v>933</v>
      </c>
      <c r="D7" s="16">
        <f>'Település Bemutatása - Népesség'!H6</f>
        <v>919</v>
      </c>
      <c r="E7" s="106">
        <f t="shared" ref="E7:E8" si="2">IF(SUM(C7,D7)=0,"-",SUM(C7,D7))</f>
        <v>1852</v>
      </c>
      <c r="F7" s="107">
        <f>'Település Bemutatása - Népesség'!J6</f>
        <v>0.11097894611633163</v>
      </c>
      <c r="G7" s="107">
        <f>'Település Bemutatása - Népesség'!K6</f>
        <v>0.10931366718211015</v>
      </c>
      <c r="I7" s="6">
        <f>Q!$B$1-2</f>
        <v>2018</v>
      </c>
      <c r="J7" s="104">
        <v>8</v>
      </c>
      <c r="K7" s="104">
        <v>9</v>
      </c>
      <c r="L7" s="1"/>
      <c r="M7" s="6">
        <f>Q!$B$1-2</f>
        <v>2018</v>
      </c>
      <c r="N7" s="104">
        <v>30.5</v>
      </c>
      <c r="O7" s="18"/>
      <c r="P7" s="6">
        <f>Q!$B$1-2</f>
        <v>2018</v>
      </c>
      <c r="Q7" s="104">
        <v>9</v>
      </c>
      <c r="R7" s="104">
        <v>17</v>
      </c>
      <c r="S7" s="29">
        <f t="shared" si="0"/>
        <v>26</v>
      </c>
      <c r="T7" s="1"/>
      <c r="U7" s="6">
        <f>Q!$B$1-2</f>
        <v>2018</v>
      </c>
      <c r="V7" s="32">
        <v>176</v>
      </c>
      <c r="W7" s="32"/>
      <c r="X7" s="32"/>
      <c r="Y7" s="32"/>
      <c r="Z7" s="32"/>
      <c r="AA7" s="32">
        <v>97</v>
      </c>
      <c r="AC7" s="6">
        <f>Q!$B$1-2</f>
        <v>2018</v>
      </c>
      <c r="AD7" s="104">
        <v>4</v>
      </c>
      <c r="AE7" s="16">
        <v>363</v>
      </c>
      <c r="AF7" s="114">
        <f t="shared" si="1"/>
        <v>90.75</v>
      </c>
      <c r="AH7" s="6">
        <f>Q!$B$1-2</f>
        <v>2018</v>
      </c>
      <c r="AI7" s="104">
        <v>0</v>
      </c>
      <c r="AJ7" s="104">
        <v>3</v>
      </c>
      <c r="AK7" s="104">
        <v>2</v>
      </c>
      <c r="AL7" s="16">
        <v>11195</v>
      </c>
      <c r="AM7" s="16"/>
      <c r="AN7" s="18"/>
      <c r="AO7" s="6">
        <f>Q!$B$1-2</f>
        <v>2018</v>
      </c>
      <c r="AP7" s="16">
        <v>24</v>
      </c>
      <c r="AQ7" s="16">
        <v>23</v>
      </c>
      <c r="AR7" s="18"/>
      <c r="AS7" s="6">
        <f>Q!$B$1-2</f>
        <v>2018</v>
      </c>
      <c r="AT7" s="104">
        <v>0</v>
      </c>
      <c r="AU7" s="104">
        <v>0</v>
      </c>
      <c r="AV7" s="104">
        <v>5</v>
      </c>
      <c r="AW7" s="104">
        <v>5</v>
      </c>
      <c r="AX7" s="104" t="str">
        <f>_xlfn.IFNA(IF(ISBLANK(HLOOKUP($I7,Q!$B$11:$R$144,(MATCH("127" &amp; "*",Q!$A$12:$A$144,FALSE)+1))),Q!$B$2,HLOOKUP($I7,Q!$B$11:$R$144,(MATCH("127"&amp;"*",Q!$A$12:$A$144,FALSE)+1))),Q!$B$2)</f>
        <v>n.a.</v>
      </c>
      <c r="AY7" s="104" t="str">
        <f>_xlfn.IFNA(IF(ISBLANK(HLOOKUP($I7,Q!$B$11:$R$144,(MATCH("123" &amp; "*",Q!$A$12:$A$144,FALSE)+1))),Q!$B$2,HLOOKUP($I7,Q!$B$11:$R$144,(MATCH("123"&amp;"*",Q!$A$12:$A$144,FALSE)+1))),Q!$B$2)</f>
        <v>n.a.</v>
      </c>
      <c r="AZ7" s="104">
        <v>38</v>
      </c>
      <c r="BA7" s="104">
        <v>36</v>
      </c>
      <c r="BB7" s="18"/>
      <c r="BC7" s="6">
        <f>Q!$B$1-2</f>
        <v>2018</v>
      </c>
      <c r="BD7" s="104">
        <v>435</v>
      </c>
      <c r="BE7" s="104">
        <v>0</v>
      </c>
      <c r="BF7" s="101">
        <v>0</v>
      </c>
      <c r="BG7" s="64"/>
      <c r="BH7" s="6">
        <f>Q!$B$1-2</f>
        <v>2018</v>
      </c>
      <c r="BI7" s="16">
        <v>628</v>
      </c>
      <c r="BJ7" s="104">
        <v>2</v>
      </c>
      <c r="BK7" s="101">
        <v>3.2000000000000002E-3</v>
      </c>
      <c r="BL7" s="64"/>
      <c r="BM7" s="6">
        <f>Q!$B$1-2</f>
        <v>2018</v>
      </c>
      <c r="BN7" s="104">
        <v>0</v>
      </c>
      <c r="BO7" s="101" t="str">
        <f>IFERROR(_xlfn.IFNA(IF(ISBLANK(HLOOKUP($BC7,Q!$B$11:$R$144,(MATCH("097" &amp; "*",Q!$A$12:$A$144,FALSE)+1))),Q!$B$2,HLOOKUP($BC7,Q!$B$11:$R$144,(MATCH("097"&amp;"*",Q!$A$12:$A$144,FALSE)+1))),Q!$B$2)/100,"-")</f>
        <v>-</v>
      </c>
      <c r="BP7" s="104">
        <v>0</v>
      </c>
      <c r="BQ7" s="101" t="str">
        <f>IFERROR(_xlfn.IFNA(IF(ISBLANK(HLOOKUP($BC7,Q!$B$11:$R$144,(MATCH("099" &amp; "*",Q!$A$12:$A$144,FALSE)+1))),Q!$B$2,HLOOKUP($BC7,Q!$B$11:$R$144,(MATCH("099"&amp;"*",Q!$A$12:$A$144,FALSE)+1))),Q!$B$2)/100,"-")</f>
        <v>-</v>
      </c>
      <c r="BR7" s="104">
        <v>0</v>
      </c>
      <c r="BS7" s="101" t="str">
        <f>IFERROR(_xlfn.IFNA(IF(ISBLANK(HLOOKUP($BC6,Q!$B$11:$R$144,(MATCH("101" &amp; "*",Q!$A$12:$A$144,FALSE)+1))),Q!$B$2,HLOOKUP($BC6,Q!$B$11:$R$144,(MATCH("101"&amp;"*",Q!$A$12:$A$144,FALSE)+1))),Q!$B$2)/100,"-")</f>
        <v>-</v>
      </c>
      <c r="BU7" s="6">
        <f>Q!$B$1-2</f>
        <v>2018</v>
      </c>
      <c r="BV7" s="104">
        <v>1</v>
      </c>
      <c r="BW7" s="104">
        <v>0</v>
      </c>
      <c r="BY7" s="26" t="s">
        <v>47</v>
      </c>
      <c r="BZ7" s="16">
        <v>44742</v>
      </c>
      <c r="CA7" s="16" t="s">
        <v>260</v>
      </c>
      <c r="CC7" s="6">
        <f>Q!$B$1-2</f>
        <v>2018</v>
      </c>
      <c r="CD7" s="16">
        <v>484</v>
      </c>
      <c r="CE7" s="104">
        <v>17</v>
      </c>
      <c r="CF7" s="104">
        <v>465</v>
      </c>
      <c r="CG7" s="104">
        <v>5</v>
      </c>
      <c r="CH7" s="104">
        <v>435</v>
      </c>
      <c r="CI7" s="104" t="str">
        <f>_xlfn.IFNA(IF(ISBLANK(HLOOKUP($I7,Q!$B$11:$R$144,(MATCH("086" &amp; "*",Q!$A$12:$A$144,FALSE)+1))),Q!$B$2,HLOOKUP($I7,Q!$B$11:$R$144,(MATCH("086"&amp;"*",Q!$A$12:$A$144,FALSE)+1))),Q!$B$2)</f>
        <v>n.a.</v>
      </c>
      <c r="CJ7" s="104" t="str">
        <f>_xlfn.IFNA(IF(ISBLANK(HLOOKUP($I7,Q!$B$11:$R$144,(MATCH("091" &amp; "*",Q!$A$12:$A$144,FALSE)+1))),Q!$B$2,HLOOKUP($I7,Q!$B$11:$R$144,(MATCH("091"&amp;"*",Q!$A$12:$A$144,FALSE)+1))),Q!$B$2)</f>
        <v>n.a.</v>
      </c>
      <c r="CK7" s="104">
        <v>25.59</v>
      </c>
      <c r="CM7" s="1"/>
      <c r="CN7" s="6" t="str">
        <f>CONCATENATE(Q!$B$1-3,"/",Q!$B$1-2)</f>
        <v>2017/2018</v>
      </c>
      <c r="CO7" s="104">
        <v>337</v>
      </c>
      <c r="CP7" s="104">
        <v>25</v>
      </c>
      <c r="CQ7" s="104">
        <v>1</v>
      </c>
      <c r="CR7" s="104">
        <v>25.12</v>
      </c>
      <c r="CS7" s="101">
        <v>4.6199999999999998E-2</v>
      </c>
      <c r="CT7" s="1"/>
      <c r="CU7" s="6" t="str">
        <f>CONCATENATE(Q!$B$1-3,"/",Q!$B$1-2)</f>
        <v>2017/2018</v>
      </c>
      <c r="CV7" s="104">
        <v>38</v>
      </c>
      <c r="CW7" s="1"/>
      <c r="CY7" s="6">
        <f>Q!$B$1-2</f>
        <v>2018</v>
      </c>
      <c r="CZ7" s="48"/>
      <c r="DA7" s="48"/>
      <c r="DB7" s="48"/>
      <c r="DC7" s="104">
        <v>100</v>
      </c>
    </row>
    <row r="8" spans="1:107" ht="19.5" customHeight="1" x14ac:dyDescent="0.25">
      <c r="B8" s="8" t="s">
        <v>201</v>
      </c>
      <c r="C8" s="16">
        <f>'Település Bemutatása - Népesség'!G7</f>
        <v>166</v>
      </c>
      <c r="D8" s="16">
        <f>'Település Bemutatása - Népesség'!H7</f>
        <v>139</v>
      </c>
      <c r="E8" s="106">
        <f t="shared" si="2"/>
        <v>305</v>
      </c>
      <c r="F8" s="107">
        <f>'Település Bemutatása - Népesség'!J7</f>
        <v>1.9745450220054715E-2</v>
      </c>
      <c r="G8" s="107">
        <f>'Település Bemutatása - Népesség'!K7</f>
        <v>1.6533840846913287E-2</v>
      </c>
      <c r="I8" s="6">
        <f>Q!$B$1-1</f>
        <v>2019</v>
      </c>
      <c r="J8" s="104">
        <v>14</v>
      </c>
      <c r="K8" s="104">
        <v>2</v>
      </c>
      <c r="L8" s="1"/>
      <c r="M8" s="6">
        <f>Q!$B$1-1</f>
        <v>2019</v>
      </c>
      <c r="N8" s="104">
        <v>23</v>
      </c>
      <c r="O8" s="18"/>
      <c r="P8" s="6">
        <f>Q!$B$1-1</f>
        <v>2019</v>
      </c>
      <c r="Q8" s="104">
        <v>9</v>
      </c>
      <c r="R8" s="104">
        <v>14</v>
      </c>
      <c r="S8" s="29">
        <f t="shared" si="0"/>
        <v>23</v>
      </c>
      <c r="T8" s="1"/>
      <c r="U8" s="6">
        <f>Q!$B$1-1</f>
        <v>2019</v>
      </c>
      <c r="V8" s="32">
        <v>163</v>
      </c>
      <c r="W8" s="32"/>
      <c r="X8" s="32"/>
      <c r="Y8" s="32"/>
      <c r="Z8" s="32"/>
      <c r="AA8" s="32">
        <v>92</v>
      </c>
      <c r="AC8" s="6">
        <f>Q!$B$1-1</f>
        <v>2019</v>
      </c>
      <c r="AD8" s="104">
        <v>4</v>
      </c>
      <c r="AE8" s="16">
        <v>336</v>
      </c>
      <c r="AF8" s="114">
        <f t="shared" si="1"/>
        <v>84</v>
      </c>
      <c r="AH8" s="6">
        <f>Q!$B$1-1</f>
        <v>2019</v>
      </c>
      <c r="AI8" s="104">
        <v>0</v>
      </c>
      <c r="AJ8" s="104">
        <v>4</v>
      </c>
      <c r="AK8" s="104">
        <v>2</v>
      </c>
      <c r="AL8" s="16">
        <v>11706</v>
      </c>
      <c r="AM8" s="16"/>
      <c r="AN8" s="18"/>
      <c r="AO8" s="6">
        <f>Q!$B$1-1</f>
        <v>2019</v>
      </c>
      <c r="AP8" s="16">
        <v>24</v>
      </c>
      <c r="AQ8" s="16">
        <v>24</v>
      </c>
      <c r="AR8" s="18"/>
      <c r="AS8" s="6">
        <f>Q!$B$1-1</f>
        <v>2019</v>
      </c>
      <c r="AT8" s="104">
        <v>0</v>
      </c>
      <c r="AU8" s="104">
        <v>0</v>
      </c>
      <c r="AV8" s="104" t="str">
        <f>_xlfn.IFNA(IF(ISBLANK(HLOOKUP($I8,Q!$B$11:$R$144,(MATCH("125" &amp; "*",Q!$A$12:$A$144,FALSE)+1))),Q!$B$2,HLOOKUP($I8,Q!$B$11:$R$144,(MATCH("125"&amp;"*",Q!$A$12:$A$144,FALSE)+1))),Q!$B$2)</f>
        <v>n.a.</v>
      </c>
      <c r="AW8" s="104" t="str">
        <f>_xlfn.IFNA(IF(ISBLANK(HLOOKUP($I8,Q!$B$11:$R$144,(MATCH("121" &amp; "*",Q!$A$12:$A$144,FALSE)+1))),Q!$B$2,HLOOKUP($I8,Q!$B$11:$R$144,(MATCH("121"&amp;"*",Q!$A$12:$A$144,FALSE)+1))),Q!$B$2)</f>
        <v>n.a.</v>
      </c>
      <c r="AX8" s="104" t="str">
        <f>_xlfn.IFNA(IF(ISBLANK(HLOOKUP($I8,Q!$B$11:$R$144,(MATCH("127" &amp; "*",Q!$A$12:$A$144,FALSE)+1))),Q!$B$2,HLOOKUP($I8,Q!$B$11:$R$144,(MATCH("127"&amp;"*",Q!$A$12:$A$144,FALSE)+1))),Q!$B$2)</f>
        <v>n.a.</v>
      </c>
      <c r="AY8" s="104" t="str">
        <f>_xlfn.IFNA(IF(ISBLANK(HLOOKUP($I8,Q!$B$11:$R$144,(MATCH("123" &amp; "*",Q!$A$12:$A$144,FALSE)+1))),Q!$B$2,HLOOKUP($I8,Q!$B$11:$R$144,(MATCH("123"&amp;"*",Q!$A$12:$A$144,FALSE)+1))),Q!$B$2)</f>
        <v>n.a.</v>
      </c>
      <c r="AZ8" s="104">
        <v>38</v>
      </c>
      <c r="BA8" s="104">
        <v>38</v>
      </c>
      <c r="BB8" s="18"/>
      <c r="BC8" s="6">
        <f>Q!$B$1-1</f>
        <v>2019</v>
      </c>
      <c r="BD8" s="104">
        <v>426</v>
      </c>
      <c r="BE8" s="104">
        <v>1</v>
      </c>
      <c r="BF8" s="101">
        <v>2.3E-3</v>
      </c>
      <c r="BG8" s="64"/>
      <c r="BH8" s="6">
        <f>Q!$B$1-1</f>
        <v>2019</v>
      </c>
      <c r="BI8" s="16">
        <v>657</v>
      </c>
      <c r="BJ8" s="104">
        <v>1</v>
      </c>
      <c r="BK8" s="101">
        <v>1.5E-3</v>
      </c>
      <c r="BL8" s="64"/>
      <c r="BM8" s="6">
        <f>Q!$B$1-1</f>
        <v>2019</v>
      </c>
      <c r="BN8" s="104">
        <v>0</v>
      </c>
      <c r="BO8" s="101" t="str">
        <f>IFERROR(_xlfn.IFNA(IF(ISBLANK(HLOOKUP($BC8,Q!$B$11:$R$144,(MATCH("097" &amp; "*",Q!$A$12:$A$144,FALSE)+1))),Q!$B$2,HLOOKUP($BC8,Q!$B$11:$R$144,(MATCH("097"&amp;"*",Q!$A$12:$A$144,FALSE)+1))),Q!$B$2)/100,"-")</f>
        <v>-</v>
      </c>
      <c r="BP8" s="104">
        <v>0</v>
      </c>
      <c r="BQ8" s="101" t="str">
        <f>IFERROR(_xlfn.IFNA(IF(ISBLANK(HLOOKUP($BC8,Q!$B$11:$R$144,(MATCH("099" &amp; "*",Q!$A$12:$A$144,FALSE)+1))),Q!$B$2,HLOOKUP($BC8,Q!$B$11:$R$144,(MATCH("099"&amp;"*",Q!$A$12:$A$144,FALSE)+1))),Q!$B$2)/100,"-")</f>
        <v>-</v>
      </c>
      <c r="BR8" s="104">
        <v>0</v>
      </c>
      <c r="BS8" s="101" t="str">
        <f>IFERROR(_xlfn.IFNA(IF(ISBLANK(HLOOKUP($BC7,Q!$B$11:$R$144,(MATCH("101" &amp; "*",Q!$A$12:$A$144,FALSE)+1))),Q!$B$2,HLOOKUP($BC7,Q!$B$11:$R$144,(MATCH("101"&amp;"*",Q!$A$12:$A$144,FALSE)+1))),Q!$B$2)/100,"-")</f>
        <v>-</v>
      </c>
      <c r="BU8" s="6">
        <f>Q!$B$1-1</f>
        <v>2019</v>
      </c>
      <c r="BV8" s="104">
        <v>2</v>
      </c>
      <c r="BW8" s="104">
        <v>0</v>
      </c>
      <c r="BY8" s="26" t="s">
        <v>77</v>
      </c>
      <c r="BZ8" s="184">
        <v>0</v>
      </c>
      <c r="CA8" s="185"/>
      <c r="CC8" s="6">
        <f>Q!$B$1-1</f>
        <v>2019</v>
      </c>
      <c r="CD8" s="16">
        <v>503</v>
      </c>
      <c r="CE8" s="104">
        <v>17</v>
      </c>
      <c r="CF8" s="104">
        <v>465</v>
      </c>
      <c r="CG8" s="104">
        <v>5</v>
      </c>
      <c r="CH8" s="104">
        <v>426</v>
      </c>
      <c r="CI8" s="104" t="str">
        <f>_xlfn.IFNA(IF(ISBLANK(HLOOKUP($I8,Q!$B$11:$R$144,(MATCH("086" &amp; "*",Q!$A$12:$A$144,FALSE)+1))),Q!$B$2,HLOOKUP($I8,Q!$B$11:$R$144,(MATCH("086"&amp;"*",Q!$A$12:$A$144,FALSE)+1))),Q!$B$2)</f>
        <v>n.a.</v>
      </c>
      <c r="CJ8" s="104" t="str">
        <f>_xlfn.IFNA(IF(ISBLANK(HLOOKUP($I8,Q!$B$11:$R$144,(MATCH("091" &amp; "*",Q!$A$12:$A$144,FALSE)+1))),Q!$B$2,HLOOKUP($I8,Q!$B$11:$R$144,(MATCH("091"&amp;"*",Q!$A$12:$A$144,FALSE)+1))),Q!$B$2)</f>
        <v>n.a.</v>
      </c>
      <c r="CK8" s="104">
        <v>25.06</v>
      </c>
      <c r="CM8" s="1"/>
      <c r="CN8" s="6" t="str">
        <f>CONCATENATE(Q!$B$1-2,"/",Q!$B$1-1)</f>
        <v>2018/2019</v>
      </c>
      <c r="CO8" s="104">
        <v>367</v>
      </c>
      <c r="CP8" s="104">
        <v>25</v>
      </c>
      <c r="CQ8" s="104">
        <v>1</v>
      </c>
      <c r="CR8" s="104">
        <v>26.28</v>
      </c>
      <c r="CS8" s="101">
        <v>4.87E-2</v>
      </c>
      <c r="CT8" s="1"/>
      <c r="CU8" s="6" t="str">
        <f>CONCATENATE(Q!$B$1-2,"/",Q!$B$1-1)</f>
        <v>2018/2019</v>
      </c>
      <c r="CV8" s="104">
        <v>48</v>
      </c>
      <c r="CW8" s="1"/>
      <c r="CY8" s="6">
        <f>Q!$B$1-1</f>
        <v>2019</v>
      </c>
      <c r="CZ8" s="48"/>
      <c r="DA8" s="48"/>
      <c r="DB8" s="48"/>
      <c r="DC8" s="104">
        <v>95</v>
      </c>
    </row>
    <row r="9" spans="1:107" ht="29.25" customHeight="1" x14ac:dyDescent="0.25">
      <c r="B9" s="84" t="s">
        <v>28</v>
      </c>
      <c r="C9" s="59"/>
      <c r="D9" s="59"/>
      <c r="E9" s="60"/>
      <c r="F9" s="53"/>
      <c r="G9" s="53"/>
      <c r="I9" s="6">
        <f>Q!$B$1</f>
        <v>2020</v>
      </c>
      <c r="J9" s="104">
        <v>0</v>
      </c>
      <c r="K9" s="104">
        <v>4</v>
      </c>
      <c r="L9" s="1" t="s">
        <v>263</v>
      </c>
      <c r="M9" s="6">
        <f>Q!$B$1</f>
        <v>2020</v>
      </c>
      <c r="N9" s="104">
        <v>11</v>
      </c>
      <c r="O9" s="1"/>
      <c r="P9" s="6">
        <f>Q!$B$1</f>
        <v>2020</v>
      </c>
      <c r="Q9" s="104">
        <v>11</v>
      </c>
      <c r="R9" s="104">
        <v>23</v>
      </c>
      <c r="S9" s="29">
        <f t="shared" ref="S9" si="3">IF(SUM(Q9,R9)=0,"-",SUM(Q9,R9))</f>
        <v>34</v>
      </c>
      <c r="T9" s="1"/>
      <c r="U9" s="6">
        <f>Q!$B$1</f>
        <v>2020</v>
      </c>
      <c r="V9" s="32">
        <v>126</v>
      </c>
      <c r="W9" s="32"/>
      <c r="X9" s="32"/>
      <c r="Y9" s="32"/>
      <c r="Z9" s="32"/>
      <c r="AA9" s="32">
        <v>147</v>
      </c>
      <c r="AC9" s="6">
        <f>Q!$B$1</f>
        <v>2020</v>
      </c>
      <c r="AD9" s="104">
        <v>4</v>
      </c>
      <c r="AE9" s="16">
        <v>316</v>
      </c>
      <c r="AF9" s="114">
        <f t="shared" ref="AF9:AF10" si="4">IF(ISERR((AE9/AD9)),"-",(AE9/AD9))</f>
        <v>79</v>
      </c>
      <c r="AH9" s="6">
        <f>Q!$B$1</f>
        <v>2020</v>
      </c>
      <c r="AI9" s="104">
        <v>0</v>
      </c>
      <c r="AJ9" s="104">
        <v>4</v>
      </c>
      <c r="AK9" s="104">
        <v>2</v>
      </c>
      <c r="AL9" s="16">
        <v>13930</v>
      </c>
      <c r="AM9" s="16">
        <v>0</v>
      </c>
      <c r="AO9" s="6">
        <f>Q!$B$1</f>
        <v>2020</v>
      </c>
      <c r="AP9" s="16">
        <v>24</v>
      </c>
      <c r="AQ9" s="16">
        <v>23</v>
      </c>
      <c r="AR9" s="18"/>
      <c r="AS9" s="6">
        <f>Q!$B$1</f>
        <v>2020</v>
      </c>
      <c r="AT9" s="104">
        <v>0</v>
      </c>
      <c r="AU9" s="104">
        <v>0</v>
      </c>
      <c r="AV9" s="104" t="str">
        <f>_xlfn.IFNA(IF(ISBLANK(HLOOKUP($I10,Q!$B$11:$R$144,(MATCH("125" &amp; "*",Q!$A$12:$A$144,FALSE)+1))),Q!$B$2,HLOOKUP($I10,Q!$B$11:$R$144,(MATCH("125"&amp;"*",Q!$A$12:$A$144,FALSE)+1))),Q!$B$2)</f>
        <v>n.a.</v>
      </c>
      <c r="AW9" s="104" t="str">
        <f>_xlfn.IFNA(IF(ISBLANK(HLOOKUP($I10,Q!$B$11:$R$144,(MATCH("121" &amp; "*",Q!$A$12:$A$144,FALSE)+1))),Q!$B$2,HLOOKUP($I10,Q!$B$11:$R$144,(MATCH("121"&amp;"*",Q!$A$12:$A$144,FALSE)+1))),Q!$B$2)</f>
        <v>n.a.</v>
      </c>
      <c r="AX9" s="104" t="str">
        <f>_xlfn.IFNA(IF(ISBLANK(HLOOKUP($I10,Q!$B$11:$R$144,(MATCH("127" &amp; "*",Q!$A$12:$A$144,FALSE)+1))),Q!$B$2,HLOOKUP($I10,Q!$B$11:$R$144,(MATCH("127"&amp;"*",Q!$A$12:$A$144,FALSE)+1))),Q!$B$2)</f>
        <v>n.a.</v>
      </c>
      <c r="AY9" s="104" t="str">
        <f>_xlfn.IFNA(IF(ISBLANK(HLOOKUP($I10,Q!$B$11:$R$144,(MATCH("123" &amp; "*",Q!$A$12:$A$144,FALSE)+1))),Q!$B$2,HLOOKUP($I10,Q!$B$11:$R$144,(MATCH("123"&amp;"*",Q!$A$12:$A$144,FALSE)+1))),Q!$B$2)</f>
        <v>n.a.</v>
      </c>
      <c r="AZ9" s="104">
        <v>38</v>
      </c>
      <c r="BA9" s="104">
        <v>38</v>
      </c>
      <c r="BC9" s="6">
        <f>Q!$B$1</f>
        <v>2020</v>
      </c>
      <c r="BD9" s="104">
        <v>412</v>
      </c>
      <c r="BE9" s="104">
        <v>1</v>
      </c>
      <c r="BF9" s="101">
        <v>2E-3</v>
      </c>
      <c r="BH9" s="6">
        <f>Q!$B$1</f>
        <v>2020</v>
      </c>
      <c r="BI9" s="16">
        <v>671</v>
      </c>
      <c r="BJ9" s="104">
        <v>4</v>
      </c>
      <c r="BK9" s="101">
        <v>5.8999999999999999E-3</v>
      </c>
      <c r="BM9" s="6">
        <f>Q!$B$1</f>
        <v>2020</v>
      </c>
      <c r="BN9" s="104">
        <v>0</v>
      </c>
      <c r="BO9" s="101" t="str">
        <f>IFERROR(_xlfn.IFNA(IF(ISBLANK(HLOOKUP($BC10,Q!$B$11:$R$144,(MATCH("097" &amp; "*",Q!$A$12:$A$144,FALSE)+1))),Q!$B$2,HLOOKUP($BC10,Q!$B$11:$R$144,(MATCH("097"&amp;"*",Q!$A$12:$A$144,FALSE)+1))),Q!$B$2)/100,"-")</f>
        <v>-</v>
      </c>
      <c r="BP9" s="104">
        <v>0</v>
      </c>
      <c r="BQ9" s="101" t="str">
        <f>IFERROR(_xlfn.IFNA(IF(ISBLANK(HLOOKUP($BC10,Q!$B$11:$R$144,(MATCH("099" &amp; "*",Q!$A$12:$A$144,FALSE)+1))),Q!$B$2,HLOOKUP($BC10,Q!$B$11:$R$144,(MATCH("099"&amp;"*",Q!$A$12:$A$144,FALSE)+1))),Q!$B$2)/100,"-")</f>
        <v>-</v>
      </c>
      <c r="BR9" s="104">
        <v>0</v>
      </c>
      <c r="BS9" s="101" t="str">
        <f>IFERROR(_xlfn.IFNA(IF(ISBLANK(HLOOKUP($BC8,Q!$B$11:$R$144,(MATCH("101" &amp; "*",Q!$A$12:$A$144,FALSE)+1))),Q!$B$2,HLOOKUP($BC8,Q!$B$11:$R$144,(MATCH("101"&amp;"*",Q!$A$12:$A$144,FALSE)+1))),Q!$B$2)/100,"-")</f>
        <v>-</v>
      </c>
      <c r="BU9" s="6">
        <f>Q!$B$1</f>
        <v>2020</v>
      </c>
      <c r="BV9" s="104">
        <v>3</v>
      </c>
      <c r="BW9" s="104">
        <v>0</v>
      </c>
      <c r="BY9" s="25" t="s">
        <v>48</v>
      </c>
      <c r="BZ9" s="25" t="s">
        <v>7</v>
      </c>
      <c r="CA9" s="24" t="s">
        <v>49</v>
      </c>
      <c r="CC9" s="6">
        <f>Q!$B$1</f>
        <v>2020</v>
      </c>
      <c r="CD9" s="16">
        <v>496</v>
      </c>
      <c r="CE9" s="104" t="str">
        <f>_xlfn.IFNA(IF(ISBLANK(HLOOKUP($I10,Q!$B$11:$R$144,(MATCH("085" &amp; "*",Q!$A$12:$A$144,FALSE)+1))),Q!$B$2,HLOOKUP($I10,Q!$B$11:$R$144,(MATCH("085"&amp;"*",Q!$A$12:$A$144,FALSE)+1))),Q!$B$2)</f>
        <v>n.a.</v>
      </c>
      <c r="CF9" s="104" t="str">
        <f>_xlfn.IFNA(IF(ISBLANK(HLOOKUP($I10,Q!$B$11:$R$144,(MATCH("090" &amp; "*",Q!$A$12:$A$144,FALSE)+1))),Q!$B$2,HLOOKUP($I10,Q!$B$11:$R$144,(MATCH("090"&amp;"*",Q!$A$12:$A$144,FALSE)+1))),Q!$B$2)</f>
        <v>n.a.</v>
      </c>
      <c r="CG9" s="104" t="str">
        <f>_xlfn.IFNA(IF(ISBLANK(HLOOKUP($I10,Q!$B$11:$R$144,(MATCH("088" &amp; "*",Q!$A$12:$A$144,FALSE)+1))),Q!$B$2,HLOOKUP($I10,Q!$B$11:$R$144,(MATCH("088"&amp;"*",Q!$A$12:$A$144,FALSE)+1))),Q!$B$2)</f>
        <v>n.a.</v>
      </c>
      <c r="CH9" s="104" t="str">
        <f>_xlfn.IFNA(IF(ISBLANK(HLOOKUP($I10,Q!$B$11:$R$144,(MATCH("087" &amp; "*",Q!$A$12:$A$144,FALSE)+1))),Q!$B$2,HLOOKUP($I10,Q!$B$11:$R$144,(MATCH("087"&amp;"*",Q!$A$12:$A$144,FALSE)+1))),Q!$B$2)</f>
        <v>n.a.</v>
      </c>
      <c r="CI9" s="104" t="str">
        <f>_xlfn.IFNA(IF(ISBLANK(HLOOKUP($I10,Q!$B$11:$R$144,(MATCH("086" &amp; "*",Q!$A$12:$A$144,FALSE)+1))),Q!$B$2,HLOOKUP($I10,Q!$B$11:$R$144,(MATCH("086"&amp;"*",Q!$A$12:$A$144,FALSE)+1))),Q!$B$2)</f>
        <v>n.a.</v>
      </c>
      <c r="CJ9" s="104" t="str">
        <f>_xlfn.IFNA(IF(ISBLANK(HLOOKUP($I10,Q!$B$11:$R$144,(MATCH("091" &amp; "*",Q!$A$12:$A$144,FALSE)+1))),Q!$B$2,HLOOKUP($I10,Q!$B$11:$R$144,(MATCH("091"&amp;"*",Q!$A$12:$A$144,FALSE)+1))),Q!$B$2)</f>
        <v>n.a.</v>
      </c>
      <c r="CK9" s="104">
        <v>25</v>
      </c>
      <c r="CM9" s="1"/>
      <c r="CN9" s="6" t="str">
        <f>CONCATENATE(Q!$B$1-1,"/",Q!$B$1)</f>
        <v>2019/2020</v>
      </c>
      <c r="CO9" s="104">
        <v>384</v>
      </c>
      <c r="CP9" s="104">
        <v>25</v>
      </c>
      <c r="CQ9" s="104">
        <v>1</v>
      </c>
      <c r="CR9" s="104">
        <v>27</v>
      </c>
      <c r="CS9" s="101">
        <v>3.4200000000000001E-2</v>
      </c>
      <c r="CT9" s="1"/>
      <c r="CU9" s="6" t="str">
        <f>CONCATENATE(Q!$B$1-1,"/",Q!$B$1)</f>
        <v>2019/2020</v>
      </c>
      <c r="CV9" s="104">
        <v>58</v>
      </c>
      <c r="CW9" s="1"/>
      <c r="CY9" s="6">
        <f>Q!$B$1</f>
        <v>2020</v>
      </c>
      <c r="CZ9" s="48"/>
      <c r="DA9" s="48"/>
      <c r="DB9" s="48"/>
      <c r="DC9" s="104">
        <v>33</v>
      </c>
    </row>
    <row r="10" spans="1:107" x14ac:dyDescent="0.25">
      <c r="I10" s="6">
        <f>Q!$B$1+1</f>
        <v>2021</v>
      </c>
      <c r="J10" s="104">
        <v>0</v>
      </c>
      <c r="K10" s="104">
        <v>1</v>
      </c>
      <c r="L10" s="1"/>
      <c r="M10" s="6">
        <f>Q!$B$1+1</f>
        <v>2021</v>
      </c>
      <c r="N10" s="104">
        <v>8</v>
      </c>
      <c r="O10" s="1"/>
      <c r="P10" s="6">
        <f>Q!$B$1+1</f>
        <v>2021</v>
      </c>
      <c r="Q10" s="104">
        <v>12</v>
      </c>
      <c r="R10" s="104">
        <v>24</v>
      </c>
      <c r="S10" s="29">
        <f t="shared" si="0"/>
        <v>36</v>
      </c>
      <c r="T10" s="1"/>
      <c r="U10" s="19" t="s">
        <v>30</v>
      </c>
      <c r="V10" s="19"/>
      <c r="W10" s="19"/>
      <c r="X10" s="19"/>
      <c r="Y10" s="19"/>
      <c r="Z10" s="19"/>
      <c r="AA10" s="19"/>
      <c r="AC10" s="6">
        <f>Q!$B$1+1</f>
        <v>2021</v>
      </c>
      <c r="AD10" s="104">
        <v>4</v>
      </c>
      <c r="AE10" s="16">
        <v>387</v>
      </c>
      <c r="AF10" s="114">
        <f t="shared" si="4"/>
        <v>96.75</v>
      </c>
      <c r="AH10" s="1" t="s">
        <v>30</v>
      </c>
      <c r="AI10" s="1"/>
      <c r="AK10" s="1"/>
      <c r="AO10" s="6">
        <f>Q!$B$1+1</f>
        <v>2021</v>
      </c>
      <c r="AP10" s="16">
        <v>24</v>
      </c>
      <c r="AQ10" s="16">
        <v>24</v>
      </c>
      <c r="AR10" s="1"/>
      <c r="AT10" s="1" t="s">
        <v>28</v>
      </c>
      <c r="AU10" s="1"/>
      <c r="AV10" s="1"/>
      <c r="AW10" s="1"/>
      <c r="AX10" s="1"/>
      <c r="AY10" s="1"/>
      <c r="BC10" s="6">
        <f>Q!$B$1+1</f>
        <v>2021</v>
      </c>
      <c r="BD10" s="104">
        <v>379</v>
      </c>
      <c r="BE10" s="104">
        <v>1</v>
      </c>
      <c r="BF10" s="101">
        <v>3.0000000000000001E-3</v>
      </c>
      <c r="BH10" s="6">
        <f>Q!$B$1+1</f>
        <v>2021</v>
      </c>
      <c r="BI10" s="16">
        <v>644</v>
      </c>
      <c r="BJ10" s="104">
        <v>3</v>
      </c>
      <c r="BK10" s="101">
        <v>5.0000000000000001E-3</v>
      </c>
      <c r="BM10" t="s">
        <v>28</v>
      </c>
      <c r="BU10" s="6">
        <f>Q!$B$1+1</f>
        <v>2021</v>
      </c>
      <c r="BV10" s="104">
        <v>3</v>
      </c>
      <c r="BW10" s="104">
        <v>0</v>
      </c>
      <c r="BY10" s="26" t="s">
        <v>50</v>
      </c>
      <c r="BZ10" s="16">
        <v>18</v>
      </c>
      <c r="CA10" s="16">
        <v>9</v>
      </c>
      <c r="CC10" s="1" t="s">
        <v>44</v>
      </c>
      <c r="CD10" s="1"/>
      <c r="CE10" s="1"/>
      <c r="CF10" s="1"/>
      <c r="CG10" s="1"/>
      <c r="CH10" s="1"/>
      <c r="CI10" s="1"/>
      <c r="CJ10" s="1"/>
      <c r="CM10" s="1"/>
      <c r="CN10" s="1" t="s">
        <v>256</v>
      </c>
      <c r="CO10" s="28"/>
      <c r="CP10" s="28"/>
      <c r="CQ10" s="28"/>
      <c r="CR10" s="28"/>
      <c r="CS10" s="28"/>
      <c r="CT10" s="1"/>
      <c r="CU10" s="6" t="str">
        <f>CONCATENATE(Q!$B$1,"/",Q!$B$1+1)</f>
        <v>2020/2021</v>
      </c>
      <c r="CV10" s="104">
        <v>80</v>
      </c>
      <c r="CW10" s="1"/>
      <c r="CY10" s="1" t="s">
        <v>133</v>
      </c>
      <c r="CZ10" s="28"/>
    </row>
    <row r="11" spans="1:107" x14ac:dyDescent="0.25">
      <c r="I11" s="1" t="s">
        <v>28</v>
      </c>
      <c r="J11" s="1"/>
      <c r="K11" s="1"/>
      <c r="L11" s="1"/>
      <c r="M11" s="1" t="s">
        <v>30</v>
      </c>
      <c r="N11" s="1"/>
      <c r="O11" s="1"/>
      <c r="P11" s="1" t="s">
        <v>30</v>
      </c>
      <c r="R11" s="1"/>
      <c r="S11" s="1"/>
      <c r="T11" s="1"/>
      <c r="AC11" s="6">
        <f>Q!$B$1+2</f>
        <v>2022</v>
      </c>
      <c r="AD11" s="104">
        <v>4</v>
      </c>
      <c r="AE11" s="16">
        <v>330</v>
      </c>
      <c r="AF11" s="114">
        <f t="shared" si="1"/>
        <v>82.5</v>
      </c>
      <c r="AO11" s="6">
        <f>Q!$B$1+2</f>
        <v>2022</v>
      </c>
      <c r="AP11" s="16">
        <v>48</v>
      </c>
      <c r="AQ11" s="16">
        <v>42</v>
      </c>
      <c r="BC11" t="s">
        <v>28</v>
      </c>
      <c r="BH11" t="s">
        <v>224</v>
      </c>
      <c r="BU11" t="s">
        <v>28</v>
      </c>
      <c r="BY11" s="26" t="s">
        <v>51</v>
      </c>
      <c r="BZ11" s="16">
        <v>17</v>
      </c>
      <c r="CA11" s="16" t="s">
        <v>261</v>
      </c>
      <c r="CM11" s="1"/>
      <c r="CN11" s="1"/>
      <c r="CO11" s="1"/>
      <c r="CP11" s="1"/>
      <c r="CQ11" s="1"/>
      <c r="CR11" s="1"/>
      <c r="CS11" s="1"/>
      <c r="CT11" s="1"/>
      <c r="CU11" s="1" t="s">
        <v>257</v>
      </c>
      <c r="CV11" s="1"/>
      <c r="CW11" s="1"/>
    </row>
    <row r="12" spans="1:107" x14ac:dyDescent="0.25"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AC12" s="1" t="s">
        <v>30</v>
      </c>
      <c r="AD12" s="1"/>
      <c r="AO12" s="1" t="s">
        <v>129</v>
      </c>
      <c r="AP12" s="18"/>
      <c r="AQ12" s="18"/>
      <c r="BY12" s="26" t="s">
        <v>52</v>
      </c>
      <c r="BZ12" s="16">
        <v>1</v>
      </c>
      <c r="CA12" s="16">
        <v>0</v>
      </c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1:107" x14ac:dyDescent="0.25"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AP13" s="1"/>
      <c r="AQ13" s="1"/>
      <c r="BY13" s="26" t="s">
        <v>53</v>
      </c>
      <c r="BZ13" s="16">
        <v>13</v>
      </c>
      <c r="CA13" s="16">
        <v>0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1:107" x14ac:dyDescent="0.25"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BY14" s="26" t="s">
        <v>54</v>
      </c>
      <c r="BZ14" s="16">
        <v>16</v>
      </c>
      <c r="CA14" s="16">
        <v>0</v>
      </c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1:107" x14ac:dyDescent="0.25"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BY15" s="1" t="s">
        <v>134</v>
      </c>
      <c r="BZ15" s="1"/>
      <c r="CA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1:107" x14ac:dyDescent="0.25"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9:101" x14ac:dyDescent="0.25"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9:101" x14ac:dyDescent="0.25"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BP18" s="74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9:101" x14ac:dyDescent="0.25"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9:101" x14ac:dyDescent="0.25"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9:101" x14ac:dyDescent="0.25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9:101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9:101" x14ac:dyDescent="0.25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9:101" x14ac:dyDescent="0.25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9:101" x14ac:dyDescent="0.25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9:101" x14ac:dyDescent="0.25"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9:101" x14ac:dyDescent="0.25"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9:101" x14ac:dyDescent="0.25"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9:101" x14ac:dyDescent="0.25">
      <c r="I29" s="1"/>
      <c r="J29" s="1"/>
      <c r="K29" s="1"/>
      <c r="M29" s="1"/>
      <c r="N29" s="1"/>
      <c r="O29" s="1"/>
      <c r="P29" s="1"/>
      <c r="Q29" s="1"/>
      <c r="R29" s="1"/>
      <c r="S29" s="1"/>
      <c r="T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9:101" x14ac:dyDescent="0.25">
      <c r="M30" s="1"/>
      <c r="N30" s="1"/>
      <c r="P30" s="1"/>
      <c r="Q30" s="1"/>
      <c r="R30" s="1"/>
      <c r="S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9:101" x14ac:dyDescent="0.25"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9:101" x14ac:dyDescent="0.25"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99:100" x14ac:dyDescent="0.25">
      <c r="CU33" s="1"/>
      <c r="CV33" s="1"/>
    </row>
  </sheetData>
  <mergeCells count="45">
    <mergeCell ref="BZ8:CA8"/>
    <mergeCell ref="CU2:CU3"/>
    <mergeCell ref="BZ4:CA4"/>
    <mergeCell ref="BZ5:CA5"/>
    <mergeCell ref="CN2:CN3"/>
    <mergeCell ref="CC2:CC3"/>
    <mergeCell ref="BZ6:CA6"/>
    <mergeCell ref="CY2:CY3"/>
    <mergeCell ref="BU2:BU3"/>
    <mergeCell ref="BM2:BM3"/>
    <mergeCell ref="AO1:AQ1"/>
    <mergeCell ref="BZ3:CA3"/>
    <mergeCell ref="BY2:CA2"/>
    <mergeCell ref="CC1:CK1"/>
    <mergeCell ref="BU1:BW1"/>
    <mergeCell ref="AC1:AF1"/>
    <mergeCell ref="AH1:AM1"/>
    <mergeCell ref="B1:G1"/>
    <mergeCell ref="CY1:DC1"/>
    <mergeCell ref="CU1:CV1"/>
    <mergeCell ref="BY1:CA1"/>
    <mergeCell ref="CN1:CS1"/>
    <mergeCell ref="AS1:BA1"/>
    <mergeCell ref="I1:K1"/>
    <mergeCell ref="M1:N1"/>
    <mergeCell ref="U1:AA1"/>
    <mergeCell ref="P1:S1"/>
    <mergeCell ref="AH2:AH3"/>
    <mergeCell ref="BC1:BF1"/>
    <mergeCell ref="BH1:BK1"/>
    <mergeCell ref="BM1:BS1"/>
    <mergeCell ref="AO2:AO3"/>
    <mergeCell ref="AS2:AS3"/>
    <mergeCell ref="BC2:BC3"/>
    <mergeCell ref="BH2:BH3"/>
    <mergeCell ref="P2:P3"/>
    <mergeCell ref="U2:U3"/>
    <mergeCell ref="C2:E2"/>
    <mergeCell ref="F2:G2"/>
    <mergeCell ref="AC2:AC3"/>
    <mergeCell ref="F6:G6"/>
    <mergeCell ref="C6:D6"/>
    <mergeCell ref="B2:B4"/>
    <mergeCell ref="I2:I3"/>
    <mergeCell ref="M2:M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51"/>
  <sheetViews>
    <sheetView workbookViewId="0"/>
  </sheetViews>
  <sheetFormatPr defaultRowHeight="15" x14ac:dyDescent="0.25"/>
  <cols>
    <col min="2" max="2" width="9.42578125" customWidth="1"/>
    <col min="3" max="3" width="17.42578125" customWidth="1"/>
    <col min="4" max="4" width="14.7109375" customWidth="1"/>
    <col min="5" max="5" width="13.5703125" customWidth="1"/>
    <col min="7" max="7" width="8.85546875"/>
    <col min="8" max="8" width="21.85546875" customWidth="1"/>
    <col min="9" max="9" width="26.28515625" customWidth="1"/>
    <col min="12" max="12" width="21.85546875" customWidth="1"/>
    <col min="13" max="13" width="28" customWidth="1"/>
    <col min="16" max="16" width="19.85546875" customWidth="1"/>
    <col min="17" max="17" width="20" customWidth="1"/>
    <col min="18" max="18" width="19.85546875" customWidth="1"/>
    <col min="20" max="20" width="15.28515625" customWidth="1"/>
    <col min="21" max="21" width="26.28515625" customWidth="1"/>
    <col min="22" max="22" width="25.7109375" customWidth="1"/>
    <col min="23" max="23" width="14.42578125" customWidth="1"/>
    <col min="25" max="25" width="14.42578125" customWidth="1"/>
    <col min="26" max="26" width="14.140625" customWidth="1"/>
    <col min="27" max="27" width="15.28515625" customWidth="1"/>
    <col min="28" max="28" width="14.85546875" customWidth="1"/>
    <col min="29" max="29" width="15.42578125" customWidth="1"/>
    <col min="30" max="30" width="14" customWidth="1"/>
    <col min="31" max="31" width="14.7109375" customWidth="1"/>
    <col min="32" max="32" width="15" customWidth="1"/>
  </cols>
  <sheetData>
    <row r="1" spans="2:32" ht="36.75" customHeight="1" x14ac:dyDescent="0.25">
      <c r="B1" s="143" t="s">
        <v>148</v>
      </c>
      <c r="C1" s="135"/>
      <c r="D1" s="135"/>
      <c r="E1" s="135"/>
      <c r="F1" s="109"/>
      <c r="G1" s="193" t="s">
        <v>149</v>
      </c>
      <c r="H1" s="194"/>
      <c r="I1" s="195"/>
      <c r="K1" s="182" t="s">
        <v>249</v>
      </c>
      <c r="L1" s="182"/>
      <c r="M1" s="190"/>
      <c r="O1" s="192" t="s">
        <v>136</v>
      </c>
      <c r="P1" s="192"/>
      <c r="Q1" s="192"/>
      <c r="R1" s="192"/>
      <c r="T1" s="162" t="s">
        <v>225</v>
      </c>
      <c r="U1" s="162"/>
      <c r="V1" s="162"/>
      <c r="W1" s="61"/>
      <c r="X1" s="135" t="s">
        <v>250</v>
      </c>
      <c r="Y1" s="135"/>
      <c r="Z1" s="135"/>
      <c r="AA1" s="135"/>
      <c r="AB1" s="135"/>
      <c r="AC1" s="135"/>
      <c r="AD1" s="135"/>
      <c r="AE1" s="135"/>
      <c r="AF1" s="135"/>
    </row>
    <row r="2" spans="2:32" ht="78" customHeight="1" x14ac:dyDescent="0.25">
      <c r="B2" s="150" t="s">
        <v>13</v>
      </c>
      <c r="C2" s="147" t="s">
        <v>147</v>
      </c>
      <c r="D2" s="150"/>
      <c r="E2" s="150"/>
      <c r="F2" s="98"/>
      <c r="G2" s="136" t="s">
        <v>13</v>
      </c>
      <c r="H2" s="158" t="s">
        <v>103</v>
      </c>
      <c r="I2" s="158" t="s">
        <v>150</v>
      </c>
      <c r="K2" s="136" t="s">
        <v>13</v>
      </c>
      <c r="L2" s="78" t="s">
        <v>102</v>
      </c>
      <c r="M2" s="77" t="s">
        <v>151</v>
      </c>
      <c r="O2" s="191" t="s">
        <v>4</v>
      </c>
      <c r="P2" s="20" t="s">
        <v>117</v>
      </c>
      <c r="Q2" s="21" t="s">
        <v>39</v>
      </c>
      <c r="R2" s="21" t="s">
        <v>40</v>
      </c>
      <c r="T2" s="136" t="s">
        <v>4</v>
      </c>
      <c r="U2" s="4" t="s">
        <v>45</v>
      </c>
      <c r="V2" s="4" t="s">
        <v>265</v>
      </c>
      <c r="W2" s="30"/>
      <c r="X2" s="136" t="s">
        <v>4</v>
      </c>
      <c r="Y2" s="4" t="s">
        <v>132</v>
      </c>
      <c r="Z2" s="4" t="s">
        <v>167</v>
      </c>
      <c r="AA2" s="4" t="s">
        <v>121</v>
      </c>
      <c r="AB2" s="4" t="s">
        <v>166</v>
      </c>
      <c r="AC2" s="4" t="s">
        <v>165</v>
      </c>
      <c r="AD2" s="4" t="s">
        <v>164</v>
      </c>
      <c r="AE2" s="4" t="s">
        <v>161</v>
      </c>
      <c r="AF2" s="4" t="s">
        <v>152</v>
      </c>
    </row>
    <row r="3" spans="2:32" ht="34.5" customHeight="1" x14ac:dyDescent="0.25">
      <c r="B3" s="150"/>
      <c r="C3" s="4" t="s">
        <v>188</v>
      </c>
      <c r="D3" s="4" t="s">
        <v>143</v>
      </c>
      <c r="E3" s="3" t="s">
        <v>16</v>
      </c>
      <c r="F3" s="30"/>
      <c r="G3" s="196"/>
      <c r="H3" s="149"/>
      <c r="I3" s="149"/>
      <c r="K3" s="137"/>
      <c r="L3" s="3" t="s">
        <v>58</v>
      </c>
      <c r="M3" s="3" t="s">
        <v>7</v>
      </c>
      <c r="O3" s="191"/>
      <c r="P3" s="82" t="s">
        <v>46</v>
      </c>
      <c r="Q3" s="82" t="s">
        <v>58</v>
      </c>
      <c r="R3" s="82" t="s">
        <v>58</v>
      </c>
      <c r="T3" s="137"/>
      <c r="U3" s="82" t="s">
        <v>46</v>
      </c>
      <c r="V3" s="82" t="s">
        <v>7</v>
      </c>
      <c r="W3" s="85"/>
      <c r="X3" s="137"/>
      <c r="Y3" s="82" t="s">
        <v>46</v>
      </c>
      <c r="Z3" s="82" t="s">
        <v>7</v>
      </c>
      <c r="AA3" s="82" t="s">
        <v>46</v>
      </c>
      <c r="AB3" s="82" t="s">
        <v>7</v>
      </c>
      <c r="AC3" s="82" t="s">
        <v>46</v>
      </c>
      <c r="AD3" s="82" t="s">
        <v>7</v>
      </c>
      <c r="AE3" s="82" t="s">
        <v>46</v>
      </c>
      <c r="AF3" s="82" t="s">
        <v>7</v>
      </c>
    </row>
    <row r="4" spans="2:32" x14ac:dyDescent="0.25">
      <c r="B4" s="150"/>
      <c r="C4" s="4" t="s">
        <v>17</v>
      </c>
      <c r="D4" s="3" t="s">
        <v>17</v>
      </c>
      <c r="E4" s="3" t="s">
        <v>17</v>
      </c>
      <c r="F4" s="99"/>
      <c r="G4" s="137"/>
      <c r="H4" s="4" t="s">
        <v>17</v>
      </c>
      <c r="I4" s="4" t="s">
        <v>17</v>
      </c>
      <c r="K4" s="6">
        <f>Q!$B$1-5</f>
        <v>2015</v>
      </c>
      <c r="L4" s="112">
        <f>'3. Mélyszegények-Romák'!AM4</f>
        <v>53</v>
      </c>
      <c r="M4" s="112">
        <f>'3. Mélyszegények-Romák'!AN4</f>
        <v>2</v>
      </c>
      <c r="O4" s="6">
        <f>Q!$B$1-5</f>
        <v>2015</v>
      </c>
      <c r="P4" s="22">
        <f>'4. Gyermekek'!AD4</f>
        <v>3</v>
      </c>
      <c r="Q4" s="22">
        <f>'4. Gyermekek'!AE4</f>
        <v>128</v>
      </c>
      <c r="R4" s="128">
        <f>'4. Gyermekek'!AF4</f>
        <v>42.666666666666664</v>
      </c>
      <c r="T4" s="6">
        <f>Q!$B$1-5</f>
        <v>2015</v>
      </c>
      <c r="U4" s="16">
        <f>'4. Gyermekek'!AP4</f>
        <v>24</v>
      </c>
      <c r="V4" s="16">
        <f>'4. Gyermekek'!AQ4</f>
        <v>23</v>
      </c>
      <c r="W4" s="18"/>
      <c r="X4" s="6">
        <f>Q!$B$1-5</f>
        <v>2015</v>
      </c>
      <c r="Y4" s="16">
        <f>'4. Gyermekek'!AT4</f>
        <v>0</v>
      </c>
      <c r="Z4" s="16">
        <f>'4. Gyermekek'!AU4</f>
        <v>0</v>
      </c>
      <c r="AA4" s="16" t="str">
        <f>'4. Gyermekek'!AV4</f>
        <v>n.a.</v>
      </c>
      <c r="AB4" s="16" t="str">
        <f>'4. Gyermekek'!AW4</f>
        <v>n.a.</v>
      </c>
      <c r="AC4" s="16" t="str">
        <f>'4. Gyermekek'!AX4</f>
        <v>n.a.</v>
      </c>
      <c r="AD4" s="16" t="str">
        <f>'4. Gyermekek'!AY4</f>
        <v>n.a.</v>
      </c>
      <c r="AE4" s="16">
        <f>'4. Gyermekek'!AZ4</f>
        <v>41</v>
      </c>
      <c r="AF4" s="16" t="str">
        <f>'4. Gyermekek'!BA4</f>
        <v>n.a.</v>
      </c>
    </row>
    <row r="5" spans="2:32" x14ac:dyDescent="0.25">
      <c r="B5" s="6">
        <f>Q!$B$1-5</f>
        <v>2015</v>
      </c>
      <c r="C5" s="101">
        <f>'3. Mélyszegények-Romák'!F4</f>
        <v>8.9999999999999993E-3</v>
      </c>
      <c r="D5" s="101">
        <f>'3. Mélyszegények-Romák'!G4</f>
        <v>1.1299999999999999E-2</v>
      </c>
      <c r="E5" s="108">
        <f>'3. Mélyszegények-Romák'!H4</f>
        <v>1.0149999999999999E-2</v>
      </c>
      <c r="F5" s="110"/>
      <c r="G5" s="6">
        <f>Q!$B$1-5</f>
        <v>2015</v>
      </c>
      <c r="H5" s="111">
        <f>'3. Mélyszegények-Romák'!V5</f>
        <v>0.54720000000000002</v>
      </c>
      <c r="I5" s="111">
        <f>'3. Mélyszegények-Romák'!W5</f>
        <v>0.62070000000000003</v>
      </c>
      <c r="K5" s="6">
        <f>Q!$B$1-4</f>
        <v>2016</v>
      </c>
      <c r="L5" s="112">
        <f>'3. Mélyszegények-Romák'!AM5</f>
        <v>41</v>
      </c>
      <c r="M5" s="112">
        <f>'3. Mélyszegények-Romák'!AN5</f>
        <v>5</v>
      </c>
      <c r="O5" s="6">
        <f>Q!$B$1-4</f>
        <v>2016</v>
      </c>
      <c r="P5" s="22">
        <f>'4. Gyermekek'!AD5</f>
        <v>4</v>
      </c>
      <c r="Q5" s="22">
        <f>'4. Gyermekek'!AE5</f>
        <v>446</v>
      </c>
      <c r="R5" s="67">
        <f>'4. Gyermekek'!AF5</f>
        <v>111.5</v>
      </c>
      <c r="T5" s="6">
        <f>Q!$B$1-4</f>
        <v>2016</v>
      </c>
      <c r="U5" s="16">
        <f>'4. Gyermekek'!AP5</f>
        <v>24</v>
      </c>
      <c r="V5" s="16">
        <f>'4. Gyermekek'!AQ5</f>
        <v>23</v>
      </c>
      <c r="W5" s="18"/>
      <c r="X5" s="6">
        <f>Q!$B$1-4</f>
        <v>2016</v>
      </c>
      <c r="Y5" s="16">
        <f>'4. Gyermekek'!AT5</f>
        <v>0</v>
      </c>
      <c r="Z5" s="16">
        <f>'4. Gyermekek'!AU5</f>
        <v>0</v>
      </c>
      <c r="AA5" s="16" t="str">
        <f>'4. Gyermekek'!AV5</f>
        <v>n.a.</v>
      </c>
      <c r="AB5" s="16" t="str">
        <f>'4. Gyermekek'!AW5</f>
        <v>n.a.</v>
      </c>
      <c r="AC5" s="16" t="str">
        <f>'4. Gyermekek'!AX5</f>
        <v>n.a.</v>
      </c>
      <c r="AD5" s="16" t="str">
        <f>'4. Gyermekek'!AY5</f>
        <v>n.a.</v>
      </c>
      <c r="AE5" s="16">
        <f>'4. Gyermekek'!AZ5</f>
        <v>48</v>
      </c>
      <c r="AF5" s="16" t="str">
        <f>'4. Gyermekek'!BA5</f>
        <v>n.a.</v>
      </c>
    </row>
    <row r="6" spans="2:32" ht="15" customHeight="1" x14ac:dyDescent="0.25">
      <c r="B6" s="6">
        <f>Q!$B$1-4</f>
        <v>2016</v>
      </c>
      <c r="C6" s="101">
        <f>'3. Mélyszegények-Romák'!F5</f>
        <v>6.7000000000000002E-3</v>
      </c>
      <c r="D6" s="101">
        <f>'3. Mélyszegények-Romák'!G5</f>
        <v>8.9999999999999993E-3</v>
      </c>
      <c r="E6" s="108">
        <f>'3. Mélyszegények-Romák'!H5</f>
        <v>7.8499999999999993E-3</v>
      </c>
      <c r="F6" s="110"/>
      <c r="G6" s="6">
        <f>Q!$B$1-4</f>
        <v>2016</v>
      </c>
      <c r="H6" s="111">
        <f>'3. Mélyszegények-Romák'!V6</f>
        <v>0.58540000000000003</v>
      </c>
      <c r="I6" s="111">
        <f>'3. Mélyszegények-Romák'!W6</f>
        <v>0.54169999999999996</v>
      </c>
      <c r="K6" s="6">
        <f>Q!$B$1-3</f>
        <v>2017</v>
      </c>
      <c r="L6" s="112">
        <f>'3. Mélyszegények-Romák'!AM6</f>
        <v>58</v>
      </c>
      <c r="M6" s="112">
        <f>'3. Mélyszegények-Romák'!AN6</f>
        <v>7</v>
      </c>
      <c r="O6" s="6">
        <f>Q!$B$1-3</f>
        <v>2017</v>
      </c>
      <c r="P6" s="22">
        <f>'4. Gyermekek'!AD6</f>
        <v>4</v>
      </c>
      <c r="Q6" s="22">
        <f>'4. Gyermekek'!AE6</f>
        <v>393</v>
      </c>
      <c r="R6" s="113">
        <f>'4. Gyermekek'!AF6</f>
        <v>98.25</v>
      </c>
      <c r="T6" s="6">
        <f>Q!$B$1-3</f>
        <v>2017</v>
      </c>
      <c r="U6" s="16">
        <f>'4. Gyermekek'!AP6</f>
        <v>24</v>
      </c>
      <c r="V6" s="16">
        <f>'4. Gyermekek'!AQ6</f>
        <v>23</v>
      </c>
      <c r="W6" s="18"/>
      <c r="X6" s="6">
        <f>Q!$B$1-3</f>
        <v>2017</v>
      </c>
      <c r="Y6" s="16">
        <f>'4. Gyermekek'!AT6</f>
        <v>0</v>
      </c>
      <c r="Z6" s="16">
        <f>'4. Gyermekek'!AU6</f>
        <v>0</v>
      </c>
      <c r="AA6" s="16">
        <f>'4. Gyermekek'!AV6</f>
        <v>5</v>
      </c>
      <c r="AB6" s="16">
        <f>'4. Gyermekek'!AW6</f>
        <v>5</v>
      </c>
      <c r="AC6" s="16">
        <f>'4. Gyermekek'!AX6</f>
        <v>14</v>
      </c>
      <c r="AD6" s="16">
        <f>'4. Gyermekek'!AY6</f>
        <v>14</v>
      </c>
      <c r="AE6" s="16">
        <f>'4. Gyermekek'!AZ6</f>
        <v>46</v>
      </c>
      <c r="AF6" s="16">
        <f>'4. Gyermekek'!BA6</f>
        <v>22</v>
      </c>
    </row>
    <row r="7" spans="2:32" x14ac:dyDescent="0.25">
      <c r="B7" s="6">
        <f>Q!$B$1-3</f>
        <v>2017</v>
      </c>
      <c r="C7" s="101">
        <f>'3. Mélyszegények-Romák'!F6</f>
        <v>9.5999999999999992E-3</v>
      </c>
      <c r="D7" s="101">
        <f>'3. Mélyszegények-Romák'!G6</f>
        <v>1.21E-2</v>
      </c>
      <c r="E7" s="108">
        <f>'3. Mélyszegények-Romák'!H6</f>
        <v>1.0849999999999999E-2</v>
      </c>
      <c r="F7" s="110"/>
      <c r="G7" s="6">
        <f>Q!$B$1-3</f>
        <v>2017</v>
      </c>
      <c r="H7" s="111">
        <f>'3. Mélyszegények-Romák'!V7</f>
        <v>0.55169999999999997</v>
      </c>
      <c r="I7" s="111">
        <f>'3. Mélyszegények-Romák'!W7</f>
        <v>0.59379999999999999</v>
      </c>
      <c r="K7" s="6">
        <f>Q!$B$1-2</f>
        <v>2018</v>
      </c>
      <c r="L7" s="112">
        <f>'3. Mélyszegények-Romák'!AM7</f>
        <v>50</v>
      </c>
      <c r="M7" s="112">
        <f>'3. Mélyszegények-Romák'!AN7</f>
        <v>2</v>
      </c>
      <c r="O7" s="6">
        <f>Q!$B$1-2</f>
        <v>2018</v>
      </c>
      <c r="P7" s="22">
        <f>'4. Gyermekek'!AD7</f>
        <v>4</v>
      </c>
      <c r="Q7" s="22">
        <f>'4. Gyermekek'!AE7</f>
        <v>363</v>
      </c>
      <c r="R7" s="67">
        <f>'4. Gyermekek'!AF7</f>
        <v>90.75</v>
      </c>
      <c r="T7" s="6">
        <f>Q!$B$1-2</f>
        <v>2018</v>
      </c>
      <c r="U7" s="16">
        <f>'4. Gyermekek'!AP7</f>
        <v>24</v>
      </c>
      <c r="V7" s="16">
        <f>'4. Gyermekek'!AQ7</f>
        <v>23</v>
      </c>
      <c r="W7" s="18"/>
      <c r="X7" s="6">
        <f>Q!$B$1-2</f>
        <v>2018</v>
      </c>
      <c r="Y7" s="16">
        <f>'4. Gyermekek'!AT7</f>
        <v>0</v>
      </c>
      <c r="Z7" s="16">
        <f>'4. Gyermekek'!AU7</f>
        <v>0</v>
      </c>
      <c r="AA7" s="16">
        <f>'4. Gyermekek'!AV7</f>
        <v>5</v>
      </c>
      <c r="AB7" s="16">
        <f>'4. Gyermekek'!AW7</f>
        <v>5</v>
      </c>
      <c r="AC7" s="16" t="str">
        <f>'4. Gyermekek'!AX7</f>
        <v>n.a.</v>
      </c>
      <c r="AD7" s="16" t="str">
        <f>'4. Gyermekek'!AY7</f>
        <v>n.a.</v>
      </c>
      <c r="AE7" s="16">
        <f>'4. Gyermekek'!AZ7</f>
        <v>38</v>
      </c>
      <c r="AF7" s="16">
        <f>'4. Gyermekek'!BA7</f>
        <v>36</v>
      </c>
    </row>
    <row r="8" spans="2:32" x14ac:dyDescent="0.25">
      <c r="B8" s="6">
        <f>Q!$B$1-2</f>
        <v>2018</v>
      </c>
      <c r="C8" s="101">
        <f>'3. Mélyszegények-Romák'!F7</f>
        <v>6.0000000000000001E-3</v>
      </c>
      <c r="D8" s="101">
        <f>'3. Mélyszegények-Romák'!G7</f>
        <v>1.23E-2</v>
      </c>
      <c r="E8" s="108">
        <f>'3. Mélyszegények-Romák'!H7</f>
        <v>9.1500000000000001E-3</v>
      </c>
      <c r="F8" s="110"/>
      <c r="G8" s="6">
        <f>Q!$B$1-2</f>
        <v>2018</v>
      </c>
      <c r="H8" s="111">
        <f>'3. Mélyszegények-Romák'!V8</f>
        <v>0.54</v>
      </c>
      <c r="I8" s="111">
        <f>'3. Mélyszegények-Romák'!W8</f>
        <v>0.70369999999999999</v>
      </c>
      <c r="K8" s="6">
        <f>Q!$B$1-1</f>
        <v>2019</v>
      </c>
      <c r="L8" s="112">
        <f>'3. Mélyszegények-Romák'!AM8</f>
        <v>43</v>
      </c>
      <c r="M8" s="112">
        <f>'3. Mélyszegények-Romák'!AN8</f>
        <v>2</v>
      </c>
      <c r="O8" s="6">
        <f>Q!$B$1-1</f>
        <v>2019</v>
      </c>
      <c r="P8" s="22">
        <f>'4. Gyermekek'!AD8</f>
        <v>4</v>
      </c>
      <c r="Q8" s="22">
        <f>'4. Gyermekek'!AE8</f>
        <v>336</v>
      </c>
      <c r="R8" s="67">
        <f>'4. Gyermekek'!AF8</f>
        <v>84</v>
      </c>
      <c r="T8" s="6">
        <f>Q!$B$1-1</f>
        <v>2019</v>
      </c>
      <c r="U8" s="16">
        <f>'4. Gyermekek'!AP8</f>
        <v>24</v>
      </c>
      <c r="V8" s="16">
        <f>'4. Gyermekek'!AQ8</f>
        <v>24</v>
      </c>
      <c r="W8" s="18"/>
      <c r="X8" s="6">
        <f>Q!$B$1-1</f>
        <v>2019</v>
      </c>
      <c r="Y8" s="16">
        <f>'4. Gyermekek'!AT8</f>
        <v>0</v>
      </c>
      <c r="Z8" s="16">
        <f>'4. Gyermekek'!AU8</f>
        <v>0</v>
      </c>
      <c r="AA8" s="16" t="str">
        <f>'4. Gyermekek'!AV8</f>
        <v>n.a.</v>
      </c>
      <c r="AB8" s="16" t="str">
        <f>'4. Gyermekek'!AW8</f>
        <v>n.a.</v>
      </c>
      <c r="AC8" s="16" t="str">
        <f>'4. Gyermekek'!AX8</f>
        <v>n.a.</v>
      </c>
      <c r="AD8" s="16" t="str">
        <f>'4. Gyermekek'!AY8</f>
        <v>n.a.</v>
      </c>
      <c r="AE8" s="16">
        <f>'4. Gyermekek'!AZ8</f>
        <v>38</v>
      </c>
      <c r="AF8" s="16">
        <f>'4. Gyermekek'!BA8</f>
        <v>38</v>
      </c>
    </row>
    <row r="9" spans="2:32" x14ac:dyDescent="0.25">
      <c r="B9" s="6">
        <f>Q!$B$1-1</f>
        <v>2019</v>
      </c>
      <c r="C9" s="101">
        <f>'3. Mélyszegények-Romák'!F8</f>
        <v>6.7000000000000002E-3</v>
      </c>
      <c r="D9" s="101">
        <f>'3. Mélyszegények-Romák'!G8</f>
        <v>8.9999999999999993E-3</v>
      </c>
      <c r="E9" s="108">
        <f>'3. Mélyszegények-Romák'!H8</f>
        <v>7.8499999999999993E-3</v>
      </c>
      <c r="F9" s="110"/>
      <c r="G9" s="6">
        <f>Q!$B$1-1</f>
        <v>2019</v>
      </c>
      <c r="H9" s="111">
        <f>'3. Mélyszegények-Romák'!V9</f>
        <v>0.39529999999999998</v>
      </c>
      <c r="I9" s="111">
        <f>'3. Mélyszegények-Romák'!W9</f>
        <v>0.52939999999999998</v>
      </c>
      <c r="K9" s="6">
        <f>Q!$B$1</f>
        <v>2020</v>
      </c>
      <c r="L9" s="112">
        <f>'3. Mélyszegények-Romák'!AM9</f>
        <v>65</v>
      </c>
      <c r="M9" s="112">
        <f>'3. Mélyszegények-Romák'!AN9</f>
        <v>4</v>
      </c>
      <c r="O9" s="6">
        <f>Q!$B$1</f>
        <v>2020</v>
      </c>
      <c r="P9" s="22">
        <f>'4. Gyermekek'!AD11</f>
        <v>4</v>
      </c>
      <c r="Q9" s="22">
        <f>'4. Gyermekek'!AE11</f>
        <v>330</v>
      </c>
      <c r="R9" s="67">
        <f>'4. Gyermekek'!AF11</f>
        <v>82.5</v>
      </c>
      <c r="T9" s="6">
        <f>Q!$B$1</f>
        <v>2020</v>
      </c>
      <c r="U9" s="16">
        <f>'4. Gyermekek'!AP10</f>
        <v>24</v>
      </c>
      <c r="V9" s="16">
        <f>'4. Gyermekek'!AQ10</f>
        <v>24</v>
      </c>
      <c r="W9" s="18"/>
      <c r="X9" s="6">
        <f>Q!$B$1</f>
        <v>2020</v>
      </c>
      <c r="Y9" s="16">
        <f>'4. Gyermekek'!AT9</f>
        <v>0</v>
      </c>
      <c r="Z9" s="16">
        <f>'4. Gyermekek'!AU9</f>
        <v>0</v>
      </c>
      <c r="AA9" s="16" t="str">
        <f>'4. Gyermekek'!AV9</f>
        <v>n.a.</v>
      </c>
      <c r="AB9" s="16" t="str">
        <f>'4. Gyermekek'!AW9</f>
        <v>n.a.</v>
      </c>
      <c r="AC9" s="16" t="str">
        <f>'4. Gyermekek'!AX9</f>
        <v>n.a.</v>
      </c>
      <c r="AD9" s="16" t="str">
        <f>'4. Gyermekek'!AY9</f>
        <v>n.a.</v>
      </c>
      <c r="AE9" s="16">
        <f>'4. Gyermekek'!AZ9</f>
        <v>38</v>
      </c>
      <c r="AF9" s="16">
        <f>'4. Gyermekek'!BA9</f>
        <v>38</v>
      </c>
    </row>
    <row r="10" spans="2:32" x14ac:dyDescent="0.25">
      <c r="B10" s="6">
        <f>Q!$B$1</f>
        <v>2020</v>
      </c>
      <c r="C10" s="101">
        <f>'3. Mélyszegények-Romák'!F9</f>
        <v>1.0999999999999999E-2</v>
      </c>
      <c r="D10" s="101">
        <f>'3. Mélyszegények-Romák'!G9</f>
        <v>1.23E-2</v>
      </c>
      <c r="E10" s="108">
        <f>'3. Mélyszegények-Romák'!H9</f>
        <v>1.1650000000000001E-2</v>
      </c>
      <c r="F10" s="110"/>
      <c r="G10" s="6">
        <f>Q!$B$1</f>
        <v>2020</v>
      </c>
      <c r="H10" s="111">
        <f>'3. Mélyszegények-Romák'!V10</f>
        <v>0.41539999999999999</v>
      </c>
      <c r="I10" s="111">
        <f>'3. Mélyszegények-Romák'!W10</f>
        <v>0.48149999999999998</v>
      </c>
      <c r="K10" s="6">
        <f>Q!$B$1+1</f>
        <v>2021</v>
      </c>
      <c r="L10" s="112">
        <f>'3. Mélyszegények-Romák'!AM10</f>
        <v>39</v>
      </c>
      <c r="M10" s="112">
        <f>'3. Mélyszegények-Romák'!AN10</f>
        <v>1</v>
      </c>
      <c r="O10" s="1" t="s">
        <v>30</v>
      </c>
      <c r="P10" s="1"/>
      <c r="T10" s="6">
        <f>Q!$B$1+1</f>
        <v>2021</v>
      </c>
      <c r="U10" s="16">
        <f>'4. Gyermekek'!AP10</f>
        <v>24</v>
      </c>
      <c r="V10" s="16">
        <f>'4. Gyermekek'!AQ10</f>
        <v>24</v>
      </c>
      <c r="W10" s="1"/>
      <c r="Y10" s="1" t="s">
        <v>28</v>
      </c>
      <c r="Z10" s="1"/>
      <c r="AA10" s="1"/>
      <c r="AB10" s="1"/>
      <c r="AC10" s="1"/>
      <c r="AD10" s="1"/>
    </row>
    <row r="11" spans="2:32" x14ac:dyDescent="0.25">
      <c r="B11" s="6">
        <f>Q!$B$1+1</f>
        <v>2021</v>
      </c>
      <c r="C11" s="101">
        <f>'3. Mélyszegények-Romák'!F10</f>
        <v>7.7999999999999996E-3</v>
      </c>
      <c r="D11" s="101">
        <f>'3. Mélyszegények-Romák'!G10</f>
        <v>5.7999999999999996E-3</v>
      </c>
      <c r="E11" s="108">
        <f>'3. Mélyszegények-Romák'!H10</f>
        <v>6.7999999999999996E-3</v>
      </c>
      <c r="F11" s="19"/>
      <c r="G11" s="6">
        <f>Q!$B$1+1</f>
        <v>2021</v>
      </c>
      <c r="H11" s="111">
        <f>'3. Mélyszegények-Romák'!V11</f>
        <v>0.5897</v>
      </c>
      <c r="I11" s="111">
        <f>'3. Mélyszegények-Romák'!W11</f>
        <v>0.43480000000000002</v>
      </c>
      <c r="K11" s="19" t="s">
        <v>18</v>
      </c>
      <c r="L11" s="19"/>
      <c r="M11" s="19"/>
      <c r="T11" s="6">
        <f>Q!$B$1+2</f>
        <v>2022</v>
      </c>
      <c r="U11" s="16">
        <f>'4. Gyermekek'!AP11</f>
        <v>48</v>
      </c>
      <c r="V11" s="16">
        <f>'4. Gyermekek'!AQ11</f>
        <v>42</v>
      </c>
    </row>
    <row r="12" spans="2:32" x14ac:dyDescent="0.25">
      <c r="B12" s="1" t="s">
        <v>18</v>
      </c>
      <c r="C12" s="1"/>
      <c r="D12" s="1"/>
      <c r="E12" s="1"/>
      <c r="G12" s="1" t="s">
        <v>18</v>
      </c>
      <c r="H12" s="11"/>
      <c r="I12" s="11"/>
      <c r="K12" s="19"/>
      <c r="L12" s="19"/>
      <c r="M12" s="19"/>
      <c r="T12" s="1" t="s">
        <v>129</v>
      </c>
      <c r="U12" s="1"/>
      <c r="V12" s="1"/>
    </row>
    <row r="13" spans="2:32" x14ac:dyDescent="0.25">
      <c r="G13" s="1"/>
      <c r="H13" s="1"/>
      <c r="I13" s="1"/>
    </row>
    <row r="14" spans="2:32" x14ac:dyDescent="0.25">
      <c r="G14" s="1"/>
      <c r="H14" s="1"/>
      <c r="I14" s="1"/>
    </row>
    <row r="15" spans="2:32" x14ac:dyDescent="0.25">
      <c r="G15" s="1"/>
      <c r="H15" s="1"/>
      <c r="I15" s="1"/>
    </row>
    <row r="16" spans="2:32" x14ac:dyDescent="0.25">
      <c r="G16" s="1"/>
      <c r="H16" s="1"/>
      <c r="I16" s="1"/>
    </row>
    <row r="17" spans="7:9" x14ac:dyDescent="0.25">
      <c r="G17" s="1"/>
      <c r="H17" s="1"/>
      <c r="I17" s="1"/>
    </row>
    <row r="18" spans="7:9" x14ac:dyDescent="0.25">
      <c r="G18" s="1"/>
      <c r="H18" s="1"/>
      <c r="I18" s="1"/>
    </row>
    <row r="19" spans="7:9" x14ac:dyDescent="0.25">
      <c r="G19" s="1"/>
      <c r="H19" s="1"/>
      <c r="I19" s="1"/>
    </row>
    <row r="20" spans="7:9" x14ac:dyDescent="0.25">
      <c r="G20" s="1"/>
      <c r="H20" s="1"/>
      <c r="I20" s="1"/>
    </row>
    <row r="21" spans="7:9" x14ac:dyDescent="0.25">
      <c r="G21" s="1"/>
      <c r="H21" s="1"/>
      <c r="I21" s="1"/>
    </row>
    <row r="22" spans="7:9" x14ac:dyDescent="0.25">
      <c r="G22" s="1"/>
      <c r="H22" s="1"/>
      <c r="I22" s="1"/>
    </row>
    <row r="23" spans="7:9" x14ac:dyDescent="0.25">
      <c r="G23" s="1"/>
      <c r="H23" s="1"/>
      <c r="I23" s="1"/>
    </row>
    <row r="24" spans="7:9" x14ac:dyDescent="0.25">
      <c r="G24" s="1"/>
      <c r="H24" s="1"/>
      <c r="I24" s="1"/>
    </row>
    <row r="25" spans="7:9" x14ac:dyDescent="0.25">
      <c r="G25" s="1"/>
      <c r="H25" s="1"/>
      <c r="I25" s="1"/>
    </row>
    <row r="26" spans="7:9" x14ac:dyDescent="0.25">
      <c r="G26" s="1"/>
      <c r="H26" s="1"/>
      <c r="I26" s="1"/>
    </row>
    <row r="27" spans="7:9" x14ac:dyDescent="0.25">
      <c r="G27" s="1"/>
      <c r="H27" s="1"/>
      <c r="I27" s="1"/>
    </row>
    <row r="28" spans="7:9" x14ac:dyDescent="0.25">
      <c r="G28" s="1"/>
      <c r="H28" s="1"/>
      <c r="I28" s="1"/>
    </row>
    <row r="29" spans="7:9" x14ac:dyDescent="0.25">
      <c r="G29" s="1"/>
      <c r="H29" s="1"/>
      <c r="I29" s="1"/>
    </row>
    <row r="30" spans="7:9" x14ac:dyDescent="0.25">
      <c r="G30" s="1"/>
      <c r="H30" s="1"/>
      <c r="I30" s="1"/>
    </row>
    <row r="31" spans="7:9" x14ac:dyDescent="0.25">
      <c r="G31" s="1"/>
      <c r="H31" s="1"/>
      <c r="I31" s="1"/>
    </row>
    <row r="32" spans="7:9" x14ac:dyDescent="0.25">
      <c r="G32" s="1"/>
      <c r="H32" s="1"/>
      <c r="I32" s="1"/>
    </row>
    <row r="33" spans="7:9" x14ac:dyDescent="0.25">
      <c r="G33" s="1"/>
      <c r="H33" s="1"/>
      <c r="I33" s="1"/>
    </row>
    <row r="34" spans="7:9" x14ac:dyDescent="0.25">
      <c r="G34" s="1"/>
      <c r="H34" s="1"/>
      <c r="I34" s="1"/>
    </row>
    <row r="35" spans="7:9" x14ac:dyDescent="0.25">
      <c r="G35" s="1"/>
      <c r="H35" s="1"/>
      <c r="I35" s="1"/>
    </row>
    <row r="36" spans="7:9" x14ac:dyDescent="0.25">
      <c r="G36" s="1"/>
      <c r="H36" s="1"/>
      <c r="I36" s="1"/>
    </row>
    <row r="37" spans="7:9" x14ac:dyDescent="0.25">
      <c r="G37" s="1"/>
      <c r="H37" s="1"/>
      <c r="I37" s="1"/>
    </row>
    <row r="38" spans="7:9" x14ac:dyDescent="0.25">
      <c r="G38" s="1"/>
      <c r="H38" s="1"/>
      <c r="I38" s="1"/>
    </row>
    <row r="39" spans="7:9" x14ac:dyDescent="0.25">
      <c r="G39" s="1"/>
      <c r="H39" s="1"/>
      <c r="I39" s="1"/>
    </row>
    <row r="40" spans="7:9" x14ac:dyDescent="0.25">
      <c r="G40" s="1"/>
      <c r="H40" s="1"/>
      <c r="I40" s="1"/>
    </row>
    <row r="41" spans="7:9" x14ac:dyDescent="0.25">
      <c r="G41" s="1"/>
      <c r="H41" s="1"/>
      <c r="I41" s="1"/>
    </row>
    <row r="42" spans="7:9" x14ac:dyDescent="0.25">
      <c r="G42" s="1"/>
      <c r="H42" s="1"/>
      <c r="I42" s="1"/>
    </row>
    <row r="43" spans="7:9" x14ac:dyDescent="0.25">
      <c r="G43" s="1"/>
      <c r="H43" s="1"/>
      <c r="I43" s="1"/>
    </row>
    <row r="44" spans="7:9" x14ac:dyDescent="0.25">
      <c r="G44" s="1"/>
      <c r="H44" s="1"/>
      <c r="I44" s="1"/>
    </row>
    <row r="45" spans="7:9" x14ac:dyDescent="0.25">
      <c r="G45" s="1"/>
      <c r="H45" s="1"/>
      <c r="I45" s="1"/>
    </row>
    <row r="46" spans="7:9" x14ac:dyDescent="0.25">
      <c r="G46" s="1"/>
      <c r="H46" s="1"/>
      <c r="I46" s="1"/>
    </row>
    <row r="47" spans="7:9" x14ac:dyDescent="0.25">
      <c r="G47" s="1"/>
      <c r="H47" s="1"/>
      <c r="I47" s="1"/>
    </row>
    <row r="48" spans="7:9" x14ac:dyDescent="0.25">
      <c r="G48" s="1"/>
      <c r="H48" s="1"/>
      <c r="I48" s="1"/>
    </row>
    <row r="49" spans="7:9" x14ac:dyDescent="0.25">
      <c r="G49" s="1"/>
      <c r="H49" s="1"/>
      <c r="I49" s="1"/>
    </row>
    <row r="50" spans="7:9" x14ac:dyDescent="0.25">
      <c r="G50" s="1"/>
      <c r="H50" s="1"/>
      <c r="I50" s="1"/>
    </row>
    <row r="51" spans="7:9" x14ac:dyDescent="0.25">
      <c r="G51" s="1"/>
      <c r="H51" s="1"/>
      <c r="I51" s="1"/>
    </row>
  </sheetData>
  <mergeCells count="15">
    <mergeCell ref="B2:B4"/>
    <mergeCell ref="C2:E2"/>
    <mergeCell ref="B1:E1"/>
    <mergeCell ref="G2:G4"/>
    <mergeCell ref="H2:H3"/>
    <mergeCell ref="I2:I3"/>
    <mergeCell ref="T1:V1"/>
    <mergeCell ref="X1:AF1"/>
    <mergeCell ref="T2:T3"/>
    <mergeCell ref="X2:X3"/>
    <mergeCell ref="K1:M1"/>
    <mergeCell ref="O2:O3"/>
    <mergeCell ref="O1:R1"/>
    <mergeCell ref="K2:K3"/>
    <mergeCell ref="G1:I1"/>
  </mergeCells>
  <pageMargins left="0.7" right="0.7" top="0.75" bottom="0.75" header="0.3" footer="0.3"/>
  <pageSetup paperSize="9" orientation="portrait" r:id="rId1"/>
  <ignoredErrors>
    <ignoredError sqref="C11:E11 H5:I11 C5:E9 C10 D10:E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O43"/>
  <sheetViews>
    <sheetView zoomScale="106" zoomScaleNormal="106" workbookViewId="0"/>
  </sheetViews>
  <sheetFormatPr defaultRowHeight="15" x14ac:dyDescent="0.25"/>
  <cols>
    <col min="2" max="2" width="12" customWidth="1"/>
    <col min="3" max="3" width="19.5703125" customWidth="1"/>
    <col min="4" max="4" width="21.42578125" customWidth="1"/>
    <col min="5" max="7" width="14.85546875" customWidth="1"/>
    <col min="8" max="9" width="23.28515625" customWidth="1"/>
    <col min="10" max="11" width="19" customWidth="1"/>
    <col min="12" max="12" width="11.140625" customWidth="1"/>
    <col min="13" max="13" width="19.7109375" customWidth="1"/>
    <col min="14" max="14" width="19.5703125" customWidth="1"/>
    <col min="15" max="15" width="21.42578125" customWidth="1"/>
    <col min="16" max="16" width="20.42578125" customWidth="1"/>
    <col min="17" max="17" width="20.28515625" customWidth="1"/>
    <col min="18" max="18" width="20.5703125" customWidth="1"/>
    <col min="19" max="19" width="22" customWidth="1"/>
    <col min="20" max="20" width="9.42578125" customWidth="1"/>
    <col min="21" max="21" width="30.5703125" customWidth="1"/>
    <col min="22" max="23" width="13" customWidth="1"/>
    <col min="24" max="24" width="13.5703125" customWidth="1"/>
    <col min="25" max="25" width="14.28515625" customWidth="1"/>
    <col min="26" max="26" width="12.5703125" customWidth="1"/>
    <col min="27" max="28" width="13.7109375" customWidth="1"/>
    <col min="29" max="29" width="12.140625" customWidth="1"/>
    <col min="32" max="32" width="29.85546875" customWidth="1"/>
    <col min="33" max="33" width="28.5703125" customWidth="1"/>
    <col min="34" max="34" width="26.42578125" customWidth="1"/>
    <col min="35" max="35" width="13.5703125" customWidth="1"/>
    <col min="37" max="37" width="8" customWidth="1"/>
    <col min="38" max="38" width="21.42578125" customWidth="1"/>
    <col min="39" max="39" width="16.42578125" customWidth="1"/>
    <col min="40" max="40" width="22.7109375" customWidth="1"/>
    <col min="41" max="41" width="22.85546875" customWidth="1"/>
    <col min="42" max="42" width="38" customWidth="1"/>
  </cols>
  <sheetData>
    <row r="1" spans="2:41" ht="30" customHeight="1" x14ac:dyDescent="0.25">
      <c r="B1" s="135" t="s">
        <v>137</v>
      </c>
      <c r="C1" s="135"/>
      <c r="D1" s="135"/>
      <c r="E1" s="135"/>
      <c r="F1" s="61"/>
      <c r="G1" s="143" t="s">
        <v>90</v>
      </c>
      <c r="H1" s="143"/>
      <c r="I1" s="143"/>
      <c r="J1" s="143"/>
      <c r="K1" s="71"/>
      <c r="L1" s="197" t="s">
        <v>233</v>
      </c>
      <c r="M1" s="197"/>
      <c r="N1" s="197"/>
      <c r="O1" s="197"/>
      <c r="P1" s="197"/>
      <c r="Q1" s="197"/>
      <c r="R1" s="197"/>
      <c r="S1" s="197"/>
      <c r="T1" s="61"/>
      <c r="U1" s="146" t="s">
        <v>138</v>
      </c>
      <c r="V1" s="146"/>
      <c r="W1" s="146"/>
      <c r="X1" s="146"/>
      <c r="Y1" s="146"/>
      <c r="Z1" s="146"/>
      <c r="AA1" s="146"/>
      <c r="AB1" s="146"/>
      <c r="AC1" s="146"/>
      <c r="AE1" s="145" t="s">
        <v>251</v>
      </c>
      <c r="AF1" s="145"/>
      <c r="AG1" s="145"/>
      <c r="AH1" s="145"/>
      <c r="AI1" s="37"/>
      <c r="AK1" s="143" t="s">
        <v>234</v>
      </c>
      <c r="AL1" s="143"/>
      <c r="AM1" s="143"/>
      <c r="AN1" s="143"/>
      <c r="AO1" s="143"/>
    </row>
    <row r="2" spans="2:41" ht="78.75" customHeight="1" x14ac:dyDescent="0.25">
      <c r="B2" s="3" t="s">
        <v>4</v>
      </c>
      <c r="C2" s="4" t="s">
        <v>204</v>
      </c>
      <c r="D2" s="4" t="s">
        <v>99</v>
      </c>
      <c r="E2" s="4" t="s">
        <v>226</v>
      </c>
      <c r="F2" s="52"/>
      <c r="G2" s="3" t="s">
        <v>4</v>
      </c>
      <c r="H2" s="4" t="s">
        <v>145</v>
      </c>
      <c r="I2" s="4" t="s">
        <v>146</v>
      </c>
      <c r="J2" s="4" t="s">
        <v>66</v>
      </c>
      <c r="K2" s="72"/>
      <c r="L2" s="3" t="s">
        <v>4</v>
      </c>
      <c r="M2" s="20" t="s">
        <v>227</v>
      </c>
      <c r="N2" s="20" t="s">
        <v>228</v>
      </c>
      <c r="O2" s="20" t="s">
        <v>229</v>
      </c>
      <c r="P2" s="20" t="s">
        <v>230</v>
      </c>
      <c r="Q2" s="20" t="s">
        <v>231</v>
      </c>
      <c r="R2" s="20" t="s">
        <v>232</v>
      </c>
      <c r="S2" s="4" t="s">
        <v>144</v>
      </c>
      <c r="T2" s="5"/>
      <c r="U2" s="158" t="s">
        <v>14</v>
      </c>
      <c r="V2" s="4" t="s">
        <v>4</v>
      </c>
      <c r="W2" s="4">
        <f>'3. Mélyszegények-Romák'!L2</f>
        <v>2015</v>
      </c>
      <c r="X2" s="4">
        <f>'3. Mélyszegények-Romák'!M2</f>
        <v>2016</v>
      </c>
      <c r="Y2" s="4">
        <f>'3. Mélyszegények-Romák'!N2</f>
        <v>2017</v>
      </c>
      <c r="Z2" s="4">
        <f>'3. Mélyszegények-Romák'!O2</f>
        <v>2018</v>
      </c>
      <c r="AA2" s="4">
        <f>'3. Mélyszegények-Romák'!P2</f>
        <v>2019</v>
      </c>
      <c r="AB2" s="4">
        <f>'3. Mélyszegények-Romák'!Q2</f>
        <v>2020</v>
      </c>
      <c r="AC2" s="4">
        <f>'3. Mélyszegények-Romák'!R2</f>
        <v>2021</v>
      </c>
      <c r="AE2" s="3" t="s">
        <v>4</v>
      </c>
      <c r="AF2" s="4" t="s">
        <v>145</v>
      </c>
      <c r="AG2" s="4" t="s">
        <v>146</v>
      </c>
      <c r="AH2" s="4" t="s">
        <v>66</v>
      </c>
      <c r="AI2" s="30"/>
      <c r="AK2" s="136" t="s">
        <v>4</v>
      </c>
      <c r="AL2" s="4" t="s">
        <v>139</v>
      </c>
      <c r="AM2" s="95" t="s">
        <v>124</v>
      </c>
      <c r="AN2" s="33" t="s">
        <v>235</v>
      </c>
      <c r="AO2" s="20" t="s">
        <v>236</v>
      </c>
    </row>
    <row r="3" spans="2:41" ht="16.5" customHeight="1" x14ac:dyDescent="0.25">
      <c r="B3" s="6">
        <f>Q!$B$1-5</f>
        <v>2015</v>
      </c>
      <c r="C3" s="29">
        <f>'Település Bemutatása - Népesség'!O3</f>
        <v>993</v>
      </c>
      <c r="D3" s="29">
        <f>'Település Bemutatása - Népesség'!P3</f>
        <v>1718</v>
      </c>
      <c r="E3" s="115">
        <f>'Település Bemutatása - Népesség'!Q3</f>
        <v>0.57799767171129224</v>
      </c>
      <c r="F3" s="70"/>
      <c r="G3" s="6">
        <f>Q!$B$1-5</f>
        <v>2015</v>
      </c>
      <c r="H3" s="104">
        <v>570</v>
      </c>
      <c r="I3" s="104">
        <v>808</v>
      </c>
      <c r="J3" s="116">
        <f t="shared" ref="J3:J9" si="0">IF(ISERR((H3+I3)*1),"-",(H3+I3)*1)</f>
        <v>1378</v>
      </c>
      <c r="K3" s="60"/>
      <c r="L3" s="6">
        <f>Q!$B$1-5</f>
        <v>2015</v>
      </c>
      <c r="M3" s="104">
        <v>35</v>
      </c>
      <c r="N3" s="104">
        <v>26</v>
      </c>
      <c r="O3" s="104">
        <v>455</v>
      </c>
      <c r="P3" s="119">
        <v>702</v>
      </c>
      <c r="Q3" s="104">
        <v>6</v>
      </c>
      <c r="R3" s="104">
        <v>16</v>
      </c>
      <c r="S3" s="104" t="str">
        <f>_xlfn.IFNA(IF(ISBLANK(HLOOKUP($G3,Q!$B$11:$R$144,(MATCH("134" &amp; "*",Q!$A$12:$A$144,FALSE)+1))),Q!$B$2,HLOOKUP($G3,Q!$B$11:$R$144,(MATCH("134"&amp;"*",Q!$A$12:$A$144,FALSE)+1))),Q!$B$2)</f>
        <v>n.a.</v>
      </c>
      <c r="T3" s="73"/>
      <c r="U3" s="149"/>
      <c r="V3" s="77" t="s">
        <v>15</v>
      </c>
      <c r="W3" s="117">
        <f>'3. Mélyszegények-Romák'!L3</f>
        <v>53</v>
      </c>
      <c r="X3" s="4">
        <f>'3. Mélyszegények-Romák'!M3</f>
        <v>41</v>
      </c>
      <c r="Y3" s="4">
        <f>'3. Mélyszegények-Romák'!N3</f>
        <v>58</v>
      </c>
      <c r="Z3" s="4">
        <f>'3. Mélyszegények-Romák'!O3</f>
        <v>50</v>
      </c>
      <c r="AA3" s="4">
        <f>'3. Mélyszegények-Romák'!P3</f>
        <v>43</v>
      </c>
      <c r="AB3" s="4">
        <f>'3. Mélyszegények-Romák'!Q3</f>
        <v>65</v>
      </c>
      <c r="AC3" s="4">
        <f>'3. Mélyszegények-Romák'!R3</f>
        <v>39</v>
      </c>
      <c r="AE3" s="6">
        <f>Q!$B$1-5</f>
        <v>2015</v>
      </c>
      <c r="AF3" s="104">
        <f>H3</f>
        <v>570</v>
      </c>
      <c r="AG3" s="104">
        <f t="shared" ref="AG3:AG7" si="1">I3</f>
        <v>808</v>
      </c>
      <c r="AH3" s="118">
        <f t="shared" ref="AH3:AH7" si="2">J3</f>
        <v>1378</v>
      </c>
      <c r="AI3" s="38"/>
      <c r="AK3" s="137"/>
      <c r="AL3" s="3" t="s">
        <v>7</v>
      </c>
      <c r="AM3" s="94" t="s">
        <v>7</v>
      </c>
      <c r="AN3" s="27" t="s">
        <v>58</v>
      </c>
      <c r="AO3" s="3" t="s">
        <v>58</v>
      </c>
    </row>
    <row r="4" spans="2:41" ht="15" customHeight="1" x14ac:dyDescent="0.25">
      <c r="B4" s="6">
        <f>Q!$B$1-4</f>
        <v>2016</v>
      </c>
      <c r="C4" s="29">
        <f>'Település Bemutatása - Népesség'!O4</f>
        <v>1025</v>
      </c>
      <c r="D4" s="29">
        <f>'Település Bemutatása - Népesség'!P4</f>
        <v>1749</v>
      </c>
      <c r="E4" s="115">
        <f>'Település Bemutatása - Népesség'!Q4</f>
        <v>0.58604917095483133</v>
      </c>
      <c r="F4" s="70"/>
      <c r="G4" s="6">
        <f>Q!$B$1-4</f>
        <v>2016</v>
      </c>
      <c r="H4" s="104">
        <v>591</v>
      </c>
      <c r="I4" s="104">
        <v>804</v>
      </c>
      <c r="J4" s="116">
        <f t="shared" si="0"/>
        <v>1395</v>
      </c>
      <c r="K4" s="60"/>
      <c r="L4" s="6">
        <f>Q!$B$1-4</f>
        <v>2016</v>
      </c>
      <c r="M4" s="104">
        <v>29</v>
      </c>
      <c r="N4" s="104">
        <v>7</v>
      </c>
      <c r="O4" s="104">
        <v>488</v>
      </c>
      <c r="P4" s="104">
        <v>716</v>
      </c>
      <c r="Q4" s="104">
        <v>5</v>
      </c>
      <c r="R4" s="104">
        <v>20</v>
      </c>
      <c r="S4" s="104" t="str">
        <f>_xlfn.IFNA(IF(ISBLANK(HLOOKUP($G4,Q!$B$11:$R$144,(MATCH("134" &amp; "*",Q!$A$12:$A$144,FALSE)+1))),Q!$B$2,HLOOKUP($G4,Q!$B$11:$R$144,(MATCH("134"&amp;"*",Q!$A$12:$A$144,FALSE)+1))),Q!$B$2)</f>
        <v>n.a.</v>
      </c>
      <c r="T4" s="73"/>
      <c r="U4" s="152" t="s">
        <v>183</v>
      </c>
      <c r="V4" s="31" t="s">
        <v>7</v>
      </c>
      <c r="W4" s="32">
        <f>'3. Mélyszegények-Romák'!L14</f>
        <v>10</v>
      </c>
      <c r="X4" s="32">
        <f>'3. Mélyszegények-Romák'!M14</f>
        <v>9</v>
      </c>
      <c r="Y4" s="32">
        <f>'3. Mélyszegények-Romák'!N14</f>
        <v>11</v>
      </c>
      <c r="Z4" s="32">
        <f>'3. Mélyszegények-Romák'!O14</f>
        <v>8</v>
      </c>
      <c r="AA4" s="32">
        <f>'3. Mélyszegények-Romák'!P14</f>
        <v>7</v>
      </c>
      <c r="AB4" s="32">
        <f>'3. Mélyszegények-Romák'!Q14</f>
        <v>9</v>
      </c>
      <c r="AC4" s="32">
        <f>'3. Mélyszegények-Romák'!R14</f>
        <v>5</v>
      </c>
      <c r="AE4" s="6">
        <f>Q!$B$1-4</f>
        <v>2016</v>
      </c>
      <c r="AF4" s="104">
        <f t="shared" ref="AF4:AF7" si="3">H4</f>
        <v>591</v>
      </c>
      <c r="AG4" s="104">
        <f t="shared" si="1"/>
        <v>804</v>
      </c>
      <c r="AH4" s="118">
        <f t="shared" si="2"/>
        <v>1395</v>
      </c>
      <c r="AI4" s="38"/>
      <c r="AK4" s="6">
        <f>Q!$B$1-5</f>
        <v>2015</v>
      </c>
      <c r="AL4" s="121">
        <f>C3</f>
        <v>993</v>
      </c>
      <c r="AM4" s="120" t="str">
        <f>_xlfn.IFNA(IF(ISBLANK(HLOOKUP($AK4,Q!$B$11:$R$144,(MATCH("129" &amp; "*",Q!$A$12:$A$144,FALSE)+1))),Q!$B$2,HLOOKUP($AK4,Q!$B$11:$R$144,(MATCH("129"&amp;"*",Q!$A$12:$A$144,FALSE)+1))),Q!$B$2)</f>
        <v>n.a.</v>
      </c>
      <c r="AN4" s="120">
        <v>20</v>
      </c>
      <c r="AO4" s="122">
        <v>19</v>
      </c>
    </row>
    <row r="5" spans="2:41" x14ac:dyDescent="0.25">
      <c r="B5" s="6">
        <f>Q!$B$1-3</f>
        <v>2017</v>
      </c>
      <c r="C5" s="29">
        <f>'Település Bemutatása - Népesség'!O5</f>
        <v>1053</v>
      </c>
      <c r="D5" s="29">
        <f>'Település Bemutatása - Népesség'!P5</f>
        <v>1798</v>
      </c>
      <c r="E5" s="115">
        <f>'Település Bemutatása - Népesség'!Q5</f>
        <v>0.58565072302558396</v>
      </c>
      <c r="F5" s="70"/>
      <c r="G5" s="6">
        <f>Q!$B$1-3</f>
        <v>2017</v>
      </c>
      <c r="H5" s="104">
        <v>591</v>
      </c>
      <c r="I5" s="104">
        <v>814</v>
      </c>
      <c r="J5" s="116">
        <f t="shared" si="0"/>
        <v>1405</v>
      </c>
      <c r="K5" s="60"/>
      <c r="L5" s="6">
        <f>Q!$B$1-3</f>
        <v>2017</v>
      </c>
      <c r="M5" s="104">
        <v>25</v>
      </c>
      <c r="N5" s="104">
        <v>9</v>
      </c>
      <c r="O5" s="104">
        <v>499</v>
      </c>
      <c r="P5" s="104">
        <v>731</v>
      </c>
      <c r="Q5" s="104">
        <v>5</v>
      </c>
      <c r="R5" s="104">
        <v>14</v>
      </c>
      <c r="S5" s="104">
        <v>0</v>
      </c>
      <c r="T5" s="73"/>
      <c r="U5" s="152"/>
      <c r="V5" s="31" t="s">
        <v>17</v>
      </c>
      <c r="W5" s="66">
        <f>'3. Mélyszegények-Romák'!L15</f>
        <v>0.18867924528301888</v>
      </c>
      <c r="X5" s="66">
        <f>'3. Mélyszegények-Romák'!M15</f>
        <v>0.21951219512195122</v>
      </c>
      <c r="Y5" s="66">
        <f>'3. Mélyszegények-Romák'!N15</f>
        <v>0.18965517241379309</v>
      </c>
      <c r="Z5" s="66">
        <f>'3. Mélyszegények-Romák'!O15</f>
        <v>0.16</v>
      </c>
      <c r="AA5" s="66">
        <f>'3. Mélyszegények-Romák'!P15</f>
        <v>0.16279069767441862</v>
      </c>
      <c r="AB5" s="66">
        <f>'3. Mélyszegények-Romák'!Q15</f>
        <v>0.13846153846153847</v>
      </c>
      <c r="AC5" s="66">
        <f>'3. Mélyszegények-Romák'!R15</f>
        <v>0.12820512820512819</v>
      </c>
      <c r="AE5" s="6">
        <f>Q!$B$1-3</f>
        <v>2017</v>
      </c>
      <c r="AF5" s="104">
        <f t="shared" si="3"/>
        <v>591</v>
      </c>
      <c r="AG5" s="104">
        <f t="shared" si="1"/>
        <v>814</v>
      </c>
      <c r="AH5" s="118">
        <f t="shared" si="2"/>
        <v>1405</v>
      </c>
      <c r="AI5" s="38"/>
      <c r="AK5" s="6">
        <f>Q!$B$1-4</f>
        <v>2016</v>
      </c>
      <c r="AL5" s="121">
        <f t="shared" ref="AL5:AL8" si="4">C4</f>
        <v>1025</v>
      </c>
      <c r="AM5" s="120" t="str">
        <f>_xlfn.IFNA(IF(ISBLANK(HLOOKUP($AK5,Q!$B$11:$R$144,(MATCH("129" &amp; "*",Q!$A$12:$A$144,FALSE)+1))),Q!$B$2,HLOOKUP($AK5,Q!$B$11:$R$144,(MATCH("129"&amp;"*",Q!$A$12:$A$144,FALSE)+1))),Q!$B$2)</f>
        <v>n.a.</v>
      </c>
      <c r="AN5" s="120">
        <v>15</v>
      </c>
      <c r="AO5" s="122">
        <v>9</v>
      </c>
    </row>
    <row r="6" spans="2:41" x14ac:dyDescent="0.25">
      <c r="B6" s="6">
        <f>Q!$B$1-2</f>
        <v>2018</v>
      </c>
      <c r="C6" s="29">
        <f>'Település Bemutatása - Népesség'!O6</f>
        <v>1132</v>
      </c>
      <c r="D6" s="29">
        <f>'Település Bemutatása - Népesség'!P6</f>
        <v>1852</v>
      </c>
      <c r="E6" s="115">
        <f>'Település Bemutatása - Népesség'!Q6</f>
        <v>0.61123110151187909</v>
      </c>
      <c r="F6" s="70"/>
      <c r="G6" s="6">
        <f>Q!$B$1-2</f>
        <v>2018</v>
      </c>
      <c r="H6" s="104">
        <v>597</v>
      </c>
      <c r="I6" s="104">
        <v>822</v>
      </c>
      <c r="J6" s="116">
        <f t="shared" si="0"/>
        <v>1419</v>
      </c>
      <c r="K6" s="60"/>
      <c r="L6" s="6">
        <f>Q!$B$1-2</f>
        <v>2018</v>
      </c>
      <c r="M6" s="104">
        <v>26</v>
      </c>
      <c r="N6" s="104">
        <v>10</v>
      </c>
      <c r="O6" s="104">
        <v>510</v>
      </c>
      <c r="P6" s="104">
        <v>744</v>
      </c>
      <c r="Q6" s="104">
        <v>4</v>
      </c>
      <c r="R6" s="104">
        <v>10</v>
      </c>
      <c r="S6" s="104">
        <v>0</v>
      </c>
      <c r="T6" s="73"/>
      <c r="U6" s="152" t="s">
        <v>184</v>
      </c>
      <c r="V6" s="31" t="s">
        <v>7</v>
      </c>
      <c r="W6" s="32">
        <f>'3. Mélyszegények-Romák'!L16</f>
        <v>5</v>
      </c>
      <c r="X6" s="32">
        <f>'3. Mélyszegények-Romák'!M16</f>
        <v>6</v>
      </c>
      <c r="Y6" s="32">
        <f>'3. Mélyszegények-Romák'!N16</f>
        <v>4</v>
      </c>
      <c r="Z6" s="32">
        <f>'3. Mélyszegények-Romák'!O16</f>
        <v>7</v>
      </c>
      <c r="AA6" s="32">
        <f>'3. Mélyszegények-Romák'!P16</f>
        <v>5</v>
      </c>
      <c r="AB6" s="32">
        <f>'3. Mélyszegények-Romák'!Q16</f>
        <v>12</v>
      </c>
      <c r="AC6" s="32">
        <f>'3. Mélyszegények-Romák'!R16</f>
        <v>7</v>
      </c>
      <c r="AE6" s="6">
        <f>Q!$B$1-2</f>
        <v>2018</v>
      </c>
      <c r="AF6" s="104">
        <f t="shared" si="3"/>
        <v>597</v>
      </c>
      <c r="AG6" s="104">
        <f t="shared" si="1"/>
        <v>822</v>
      </c>
      <c r="AH6" s="118">
        <f t="shared" si="2"/>
        <v>1419</v>
      </c>
      <c r="AI6" s="38"/>
      <c r="AK6" s="6">
        <f>Q!$B$1-3</f>
        <v>2017</v>
      </c>
      <c r="AL6" s="121">
        <f t="shared" si="4"/>
        <v>1053</v>
      </c>
      <c r="AM6" s="120" t="str">
        <f>_xlfn.IFNA(IF(ISBLANK(HLOOKUP($AK6,Q!$B$11:$R$144,(MATCH("129" &amp; "*",Q!$A$12:$A$144,FALSE)+1))),Q!$B$2,HLOOKUP($AK6,Q!$B$11:$R$144,(MATCH("129"&amp;"*",Q!$A$12:$A$144,FALSE)+1))),Q!$B$2)</f>
        <v>n.a.</v>
      </c>
      <c r="AN6" s="120">
        <v>15</v>
      </c>
      <c r="AO6" s="122">
        <v>11</v>
      </c>
    </row>
    <row r="7" spans="2:41" x14ac:dyDescent="0.25">
      <c r="B7" s="6">
        <f>Q!$B$1-1</f>
        <v>2019</v>
      </c>
      <c r="C7" s="29">
        <f>'Település Bemutatása - Népesség'!O7</f>
        <v>1219</v>
      </c>
      <c r="D7" s="29">
        <f>'Település Bemutatása - Népesség'!P7</f>
        <v>1940</v>
      </c>
      <c r="E7" s="115">
        <f>'Település Bemutatása - Népesség'!Q7</f>
        <v>0.62835051546391751</v>
      </c>
      <c r="F7" s="70"/>
      <c r="G7" s="6">
        <f>Q!$B$1-1</f>
        <v>2019</v>
      </c>
      <c r="H7" s="104">
        <v>616</v>
      </c>
      <c r="I7" s="104">
        <v>844</v>
      </c>
      <c r="J7" s="116">
        <f t="shared" si="0"/>
        <v>1460</v>
      </c>
      <c r="K7" s="60"/>
      <c r="L7" s="6">
        <f>Q!$B$1-1</f>
        <v>2019</v>
      </c>
      <c r="M7" s="104">
        <v>21</v>
      </c>
      <c r="N7" s="104">
        <v>9</v>
      </c>
      <c r="O7" s="104">
        <v>534</v>
      </c>
      <c r="P7" s="104">
        <v>772</v>
      </c>
      <c r="Q7" s="104">
        <v>3</v>
      </c>
      <c r="R7" s="104">
        <v>9</v>
      </c>
      <c r="S7" s="104">
        <v>0</v>
      </c>
      <c r="T7" s="73"/>
      <c r="U7" s="152"/>
      <c r="V7" s="31" t="s">
        <v>17</v>
      </c>
      <c r="W7" s="66">
        <f>'3. Mélyszegények-Romák'!L17</f>
        <v>9.4339622641509441E-2</v>
      </c>
      <c r="X7" s="66">
        <f>'3. Mélyszegények-Romák'!M17</f>
        <v>0.14634146341463414</v>
      </c>
      <c r="Y7" s="66">
        <f>'3. Mélyszegények-Romák'!N17</f>
        <v>6.8965517241379309E-2</v>
      </c>
      <c r="Z7" s="66">
        <f>'3. Mélyszegények-Romák'!O17</f>
        <v>0.14000000000000001</v>
      </c>
      <c r="AA7" s="66">
        <f>'3. Mélyszegények-Romák'!P17</f>
        <v>0.11627906976744186</v>
      </c>
      <c r="AB7" s="66">
        <f>'3. Mélyszegények-Romák'!Q17</f>
        <v>0.18461538461538463</v>
      </c>
      <c r="AC7" s="66">
        <f>'3. Mélyszegények-Romák'!R17</f>
        <v>0.17948717948717949</v>
      </c>
      <c r="AE7" s="6">
        <f>Q!$B$1-1</f>
        <v>2019</v>
      </c>
      <c r="AF7" s="104">
        <f t="shared" si="3"/>
        <v>616</v>
      </c>
      <c r="AG7" s="104">
        <f t="shared" si="1"/>
        <v>844</v>
      </c>
      <c r="AH7" s="118">
        <f t="shared" si="2"/>
        <v>1460</v>
      </c>
      <c r="AI7" s="38"/>
      <c r="AK7" s="6">
        <f>Q!$B$1-2</f>
        <v>2018</v>
      </c>
      <c r="AL7" s="121">
        <f t="shared" si="4"/>
        <v>1132</v>
      </c>
      <c r="AM7" s="120" t="str">
        <f>_xlfn.IFNA(IF(ISBLANK(HLOOKUP($AK7,Q!$B$11:$R$144,(MATCH("129" &amp; "*",Q!$A$12:$A$144,FALSE)+1))),Q!$B$2,HLOOKUP($AK7,Q!$B$11:$R$144,(MATCH("129"&amp;"*",Q!$A$12:$A$144,FALSE)+1))),Q!$B$2)</f>
        <v>n.a.</v>
      </c>
      <c r="AN7" s="120">
        <v>14</v>
      </c>
      <c r="AO7" s="122">
        <v>8</v>
      </c>
    </row>
    <row r="8" spans="2:41" x14ac:dyDescent="0.25">
      <c r="B8" s="6">
        <f>Q!$B$1</f>
        <v>2020</v>
      </c>
      <c r="C8" s="29">
        <f>'Település Bemutatása - Népesség'!O8</f>
        <v>1285</v>
      </c>
      <c r="D8" s="29">
        <f>'Település Bemutatása - Népesség'!P8</f>
        <v>1938</v>
      </c>
      <c r="E8" s="115">
        <f>'Település Bemutatása - Népesség'!Q8</f>
        <v>0.66305469556243546</v>
      </c>
      <c r="F8" s="70"/>
      <c r="G8" s="6">
        <f>Q!$B$1</f>
        <v>2020</v>
      </c>
      <c r="H8" s="104">
        <v>626</v>
      </c>
      <c r="I8" s="104">
        <v>862</v>
      </c>
      <c r="J8" s="116">
        <f t="shared" ref="J8" si="5">IF(ISERR((H8+I8)*1),"-",(H8+I8)*1)</f>
        <v>1488</v>
      </c>
      <c r="K8" s="60"/>
      <c r="L8" s="6">
        <f>Q!$B$1</f>
        <v>2020</v>
      </c>
      <c r="M8" s="104">
        <v>20</v>
      </c>
      <c r="N8" s="104">
        <v>8</v>
      </c>
      <c r="O8" s="104">
        <v>544</v>
      </c>
      <c r="P8" s="104">
        <v>785</v>
      </c>
      <c r="Q8" s="104">
        <v>4</v>
      </c>
      <c r="R8" s="104">
        <v>8</v>
      </c>
      <c r="S8" s="104">
        <v>0</v>
      </c>
      <c r="T8" s="73"/>
      <c r="U8" s="152" t="s">
        <v>185</v>
      </c>
      <c r="V8" s="31" t="s">
        <v>7</v>
      </c>
      <c r="W8" s="32">
        <f>'3. Mélyszegények-Romák'!L18</f>
        <v>4</v>
      </c>
      <c r="X8" s="32">
        <f>'3. Mélyszegények-Romák'!M18</f>
        <v>1</v>
      </c>
      <c r="Y8" s="32">
        <f>'3. Mélyszegények-Romák'!N18</f>
        <v>4</v>
      </c>
      <c r="Z8" s="32">
        <f>'3. Mélyszegények-Romák'!O18</f>
        <v>1</v>
      </c>
      <c r="AA8" s="32">
        <f>'3. Mélyszegények-Romák'!P18</f>
        <v>6</v>
      </c>
      <c r="AB8" s="32">
        <f>'3. Mélyszegények-Romák'!Q18</f>
        <v>1</v>
      </c>
      <c r="AC8" s="32">
        <f>'3. Mélyszegények-Romák'!R18</f>
        <v>0</v>
      </c>
      <c r="AE8" s="6">
        <f>Q!$B$1</f>
        <v>2020</v>
      </c>
      <c r="AF8" s="104">
        <f t="shared" ref="AF8:AH9" si="6">H8</f>
        <v>626</v>
      </c>
      <c r="AG8" s="104">
        <f t="shared" si="6"/>
        <v>862</v>
      </c>
      <c r="AH8" s="118">
        <f t="shared" si="6"/>
        <v>1488</v>
      </c>
      <c r="AI8" s="38"/>
      <c r="AK8" s="6">
        <f>Q!$B$1-1</f>
        <v>2019</v>
      </c>
      <c r="AL8" s="121">
        <f t="shared" si="4"/>
        <v>1219</v>
      </c>
      <c r="AM8" s="120" t="str">
        <f>_xlfn.IFNA(IF(ISBLANK(HLOOKUP($AK8,Q!$B$11:$R$144,(MATCH("129" &amp; "*",Q!$A$12:$A$144,FALSE)+1))),Q!$B$2,HLOOKUP($AK8,Q!$B$11:$R$144,(MATCH("129"&amp;"*",Q!$A$12:$A$144,FALSE)+1))),Q!$B$2)</f>
        <v>n.a.</v>
      </c>
      <c r="AN8" s="120">
        <v>12</v>
      </c>
      <c r="AO8" s="122">
        <v>6</v>
      </c>
    </row>
    <row r="9" spans="2:41" x14ac:dyDescent="0.25">
      <c r="B9" s="6">
        <f>Q!$B$1+1</f>
        <v>2021</v>
      </c>
      <c r="C9" s="29">
        <f>'Település Bemutatása - Népesség'!O9</f>
        <v>1314</v>
      </c>
      <c r="D9" s="29">
        <f>'Település Bemutatása - Népesség'!P9</f>
        <v>1923</v>
      </c>
      <c r="E9" s="115">
        <f>'Település Bemutatása - Népesség'!Q9</f>
        <v>0.68330733229329177</v>
      </c>
      <c r="F9" s="1"/>
      <c r="G9" s="6">
        <f>Q!$B$1+1</f>
        <v>2021</v>
      </c>
      <c r="H9" s="104">
        <v>614</v>
      </c>
      <c r="I9" s="104">
        <v>871</v>
      </c>
      <c r="J9" s="116">
        <f t="shared" si="0"/>
        <v>1485</v>
      </c>
      <c r="K9" s="1"/>
      <c r="L9" s="6">
        <f>Q!$B$1+1</f>
        <v>2021</v>
      </c>
      <c r="M9" s="104">
        <v>17</v>
      </c>
      <c r="N9" s="104">
        <v>7</v>
      </c>
      <c r="O9" s="104">
        <v>536</v>
      </c>
      <c r="P9" s="104">
        <v>797</v>
      </c>
      <c r="Q9" s="104">
        <v>5</v>
      </c>
      <c r="R9" s="104">
        <v>6</v>
      </c>
      <c r="S9" s="104">
        <v>0</v>
      </c>
      <c r="T9" s="1"/>
      <c r="U9" s="152"/>
      <c r="V9" s="31" t="s">
        <v>17</v>
      </c>
      <c r="W9" s="66">
        <f>'3. Mélyszegények-Romák'!L19</f>
        <v>7.5471698113207544E-2</v>
      </c>
      <c r="X9" s="66">
        <f>'3. Mélyszegények-Romák'!M19</f>
        <v>2.4390243902439025E-2</v>
      </c>
      <c r="Y9" s="66">
        <f>'3. Mélyszegények-Romák'!N19</f>
        <v>6.8965517241379309E-2</v>
      </c>
      <c r="Z9" s="66">
        <f>'3. Mélyszegények-Romák'!O19</f>
        <v>0.02</v>
      </c>
      <c r="AA9" s="66">
        <f>'3. Mélyszegények-Romák'!P19</f>
        <v>0.13953488372093023</v>
      </c>
      <c r="AB9" s="66">
        <f>'3. Mélyszegények-Romák'!Q19</f>
        <v>1.5384615384615385E-2</v>
      </c>
      <c r="AC9" s="66">
        <f>'3. Mélyszegények-Romák'!R19</f>
        <v>0</v>
      </c>
      <c r="AE9" s="6">
        <f>Q!$B$1+1</f>
        <v>2021</v>
      </c>
      <c r="AF9" s="104">
        <f t="shared" si="6"/>
        <v>614</v>
      </c>
      <c r="AG9" s="104">
        <f t="shared" si="6"/>
        <v>871</v>
      </c>
      <c r="AH9" s="118">
        <f t="shared" si="6"/>
        <v>1485</v>
      </c>
      <c r="AI9" s="19"/>
      <c r="AK9" s="6">
        <f>Q!$B$1</f>
        <v>2020</v>
      </c>
      <c r="AL9" s="121">
        <v>1285</v>
      </c>
      <c r="AM9" s="120" t="str">
        <f>_xlfn.IFNA(IF(ISBLANK(HLOOKUP($AK9,Q!$B$11:$R$144,(MATCH("129" &amp; "*",Q!$A$12:$A$144,FALSE)+1))),Q!$B$2,HLOOKUP($AK9,Q!$B$11:$R$144,(MATCH("129"&amp;"*",Q!$A$12:$A$144,FALSE)+1))),Q!$B$2)</f>
        <v>n.a.</v>
      </c>
      <c r="AN9" s="120">
        <v>12</v>
      </c>
      <c r="AO9" s="122">
        <v>13</v>
      </c>
    </row>
    <row r="10" spans="2:41" x14ac:dyDescent="0.25">
      <c r="B10" s="1" t="s">
        <v>11</v>
      </c>
      <c r="C10" s="1"/>
      <c r="D10" s="1"/>
      <c r="E10" s="1"/>
      <c r="G10" s="1" t="s">
        <v>28</v>
      </c>
      <c r="H10" s="1"/>
      <c r="I10" s="1"/>
      <c r="J10" s="1"/>
      <c r="L10" s="1" t="s">
        <v>28</v>
      </c>
      <c r="M10" s="34"/>
      <c r="N10" s="39"/>
      <c r="O10" s="39"/>
      <c r="P10" s="39"/>
      <c r="Q10" s="39"/>
      <c r="R10" s="39"/>
      <c r="S10" s="1"/>
      <c r="U10" s="152" t="s">
        <v>186</v>
      </c>
      <c r="V10" s="31" t="s">
        <v>7</v>
      </c>
      <c r="W10" s="32">
        <f>'3. Mélyszegények-Romák'!L20</f>
        <v>12</v>
      </c>
      <c r="X10" s="32">
        <f>'3. Mélyszegények-Romák'!M20</f>
        <v>7</v>
      </c>
      <c r="Y10" s="32">
        <f>'3. Mélyszegények-Romák'!N20</f>
        <v>8</v>
      </c>
      <c r="Z10" s="32">
        <f>'3. Mélyszegények-Romák'!O20</f>
        <v>3</v>
      </c>
      <c r="AA10" s="32">
        <f>'3. Mélyszegények-Romák'!P20</f>
        <v>2</v>
      </c>
      <c r="AB10" s="32">
        <f>'3. Mélyszegények-Romák'!Q20</f>
        <v>9</v>
      </c>
      <c r="AC10" s="32">
        <f>'3. Mélyszegények-Romák'!R20</f>
        <v>4</v>
      </c>
      <c r="AE10" s="1" t="s">
        <v>28</v>
      </c>
      <c r="AF10" s="1"/>
      <c r="AG10" s="1"/>
      <c r="AH10" s="1"/>
      <c r="AI10" s="1"/>
      <c r="AK10" s="6">
        <f>Q!$B$1+1</f>
        <v>2021</v>
      </c>
      <c r="AL10" s="121">
        <f>C9</f>
        <v>1314</v>
      </c>
      <c r="AM10" s="120" t="str">
        <f>_xlfn.IFNA(IF(ISBLANK(HLOOKUP($AK10,Q!$B$11:$R$144,(MATCH("129" &amp; "*",Q!$A$12:$A$144,FALSE)+1))),Q!$B$2,HLOOKUP($AK10,Q!$B$11:$R$144,(MATCH("129"&amp;"*",Q!$A$12:$A$144,FALSE)+1))),Q!$B$2)</f>
        <v>n.a.</v>
      </c>
      <c r="AN10" s="120">
        <v>17</v>
      </c>
      <c r="AO10" s="122">
        <v>10</v>
      </c>
    </row>
    <row r="11" spans="2:41" x14ac:dyDescent="0.25">
      <c r="L11" s="1"/>
      <c r="M11" s="1"/>
      <c r="N11" s="1"/>
      <c r="O11" s="1"/>
      <c r="P11" s="1"/>
      <c r="Q11" s="1"/>
      <c r="R11" s="1"/>
      <c r="S11" s="1"/>
      <c r="U11" s="152"/>
      <c r="V11" s="31" t="s">
        <v>17</v>
      </c>
      <c r="W11" s="66">
        <f>'3. Mélyszegények-Romák'!L21</f>
        <v>0.22641509433962265</v>
      </c>
      <c r="X11" s="66">
        <f>'3. Mélyszegények-Romák'!M21</f>
        <v>0.17073170731707318</v>
      </c>
      <c r="Y11" s="66">
        <f>'3. Mélyszegények-Romák'!N21</f>
        <v>0.13793103448275862</v>
      </c>
      <c r="Z11" s="66">
        <f>'3. Mélyszegények-Romák'!O21</f>
        <v>0.06</v>
      </c>
      <c r="AA11" s="66">
        <f>'3. Mélyszegények-Romák'!P21</f>
        <v>4.6511627906976744E-2</v>
      </c>
      <c r="AB11" s="66">
        <f>'3. Mélyszegények-Romák'!Q21</f>
        <v>0.13846153846153847</v>
      </c>
      <c r="AC11" s="66">
        <f>'3. Mélyszegények-Romák'!R21</f>
        <v>0.10256410256410256</v>
      </c>
      <c r="AE11" s="1"/>
      <c r="AF11" s="1"/>
      <c r="AG11" s="1"/>
      <c r="AH11" s="1"/>
      <c r="AI11" s="1"/>
      <c r="AK11" s="1" t="s">
        <v>28</v>
      </c>
      <c r="AL11" s="34"/>
      <c r="AM11" s="34"/>
      <c r="AN11" s="1"/>
    </row>
    <row r="12" spans="2:41" x14ac:dyDescent="0.25">
      <c r="L12" s="1"/>
      <c r="M12" s="1"/>
      <c r="N12" s="1"/>
      <c r="O12" s="1"/>
      <c r="P12" s="1"/>
      <c r="Q12" s="1"/>
      <c r="R12" s="1"/>
      <c r="S12" s="1"/>
      <c r="U12" s="152" t="s">
        <v>187</v>
      </c>
      <c r="V12" s="31" t="s">
        <v>7</v>
      </c>
      <c r="W12" s="32">
        <f>'3. Mélyszegények-Romák'!L22</f>
        <v>8</v>
      </c>
      <c r="X12" s="32">
        <f>'3. Mélyszegények-Romák'!M22</f>
        <v>6</v>
      </c>
      <c r="Y12" s="32">
        <f>'3. Mélyszegények-Romák'!N22</f>
        <v>11</v>
      </c>
      <c r="Z12" s="32">
        <f>'3. Mélyszegények-Romák'!O22</f>
        <v>16</v>
      </c>
      <c r="AA12" s="32">
        <f>'3. Mélyszegények-Romák'!P22</f>
        <v>9</v>
      </c>
      <c r="AB12" s="32">
        <f>'3. Mélyszegények-Romák'!Q22</f>
        <v>12</v>
      </c>
      <c r="AC12" s="32">
        <f>'3. Mélyszegények-Romák'!R22</f>
        <v>13</v>
      </c>
      <c r="AE12" s="1"/>
      <c r="AF12" s="1"/>
      <c r="AG12" s="1"/>
      <c r="AH12" s="1"/>
      <c r="AI12" s="1"/>
      <c r="AK12" s="35"/>
      <c r="AL12" s="34"/>
      <c r="AM12" s="34"/>
      <c r="AN12" s="1"/>
    </row>
    <row r="13" spans="2:41" x14ac:dyDescent="0.25">
      <c r="L13" s="1"/>
      <c r="M13" s="1"/>
      <c r="N13" s="1"/>
      <c r="O13" s="1"/>
      <c r="P13" s="1"/>
      <c r="Q13" s="1"/>
      <c r="R13" s="1"/>
      <c r="S13" s="1"/>
      <c r="U13" s="152"/>
      <c r="V13" s="31" t="s">
        <v>17</v>
      </c>
      <c r="W13" s="66">
        <f>'3. Mélyszegények-Romák'!L23</f>
        <v>0.15094339622641509</v>
      </c>
      <c r="X13" s="66">
        <f>'3. Mélyszegények-Romák'!M23</f>
        <v>0.14634146341463414</v>
      </c>
      <c r="Y13" s="66">
        <f>'3. Mélyszegények-Romák'!N23</f>
        <v>0.18965517241379309</v>
      </c>
      <c r="Z13" s="66">
        <f>'3. Mélyszegények-Romák'!O23</f>
        <v>0.32</v>
      </c>
      <c r="AA13" s="66">
        <f>'3. Mélyszegények-Romák'!P23</f>
        <v>0.20930232558139536</v>
      </c>
      <c r="AB13" s="66">
        <f>'3. Mélyszegények-Romák'!Q23</f>
        <v>0.18461538461538463</v>
      </c>
      <c r="AC13" s="66">
        <f>'3. Mélyszegények-Romák'!R23</f>
        <v>0.33333333333333331</v>
      </c>
      <c r="AE13" s="1"/>
      <c r="AF13" s="1"/>
      <c r="AG13" s="1"/>
      <c r="AH13" s="1"/>
      <c r="AI13" s="1"/>
      <c r="AK13" s="35"/>
      <c r="AL13" s="34"/>
      <c r="AM13" s="34"/>
      <c r="AN13" s="1"/>
    </row>
    <row r="14" spans="2:41" x14ac:dyDescent="0.25">
      <c r="L14" s="1"/>
      <c r="M14" s="1"/>
      <c r="N14" s="1"/>
      <c r="O14" s="1"/>
      <c r="P14" s="1"/>
      <c r="Q14" s="1"/>
      <c r="R14" s="1"/>
      <c r="S14" s="1"/>
      <c r="U14" s="1" t="s">
        <v>18</v>
      </c>
      <c r="V14" s="10"/>
      <c r="W14" s="1"/>
      <c r="X14" s="1"/>
      <c r="Y14" s="1"/>
      <c r="Z14" s="1"/>
      <c r="AA14" s="1"/>
      <c r="AB14" s="1"/>
      <c r="AC14" s="1"/>
      <c r="AE14" s="1"/>
      <c r="AF14" s="1"/>
      <c r="AG14" s="1"/>
      <c r="AH14" s="1"/>
      <c r="AI14" s="1"/>
      <c r="AK14" s="35"/>
      <c r="AL14" s="36"/>
      <c r="AM14" s="36"/>
      <c r="AN14" s="1"/>
    </row>
    <row r="15" spans="2:41" x14ac:dyDescent="0.25">
      <c r="L15" s="1"/>
      <c r="M15" s="1"/>
      <c r="N15" s="1"/>
      <c r="O15" s="1"/>
      <c r="P15" s="1"/>
      <c r="Q15" s="1"/>
      <c r="R15" s="1"/>
      <c r="S15" s="1"/>
      <c r="AE15" s="1"/>
      <c r="AF15" s="1"/>
      <c r="AG15" s="1"/>
      <c r="AH15" s="1"/>
      <c r="AI15" s="1"/>
      <c r="AK15" s="1"/>
      <c r="AL15" s="1"/>
      <c r="AM15" s="1"/>
      <c r="AN15" s="1"/>
    </row>
    <row r="16" spans="2:41" x14ac:dyDescent="0.25">
      <c r="L16" s="1"/>
      <c r="M16" s="1"/>
      <c r="N16" s="1"/>
      <c r="O16" s="1"/>
      <c r="P16" s="1"/>
      <c r="Q16" s="1"/>
      <c r="R16" s="1"/>
      <c r="S16" s="1"/>
      <c r="AE16" s="1"/>
      <c r="AF16" s="1"/>
      <c r="AG16" s="1"/>
      <c r="AH16" s="1"/>
      <c r="AI16" s="1"/>
      <c r="AK16" s="1"/>
      <c r="AL16" s="1"/>
      <c r="AM16" s="1"/>
      <c r="AN16" s="1"/>
    </row>
    <row r="17" spans="12:40" x14ac:dyDescent="0.25">
      <c r="L17" s="1"/>
      <c r="M17" s="1"/>
      <c r="N17" s="1"/>
      <c r="O17" s="1"/>
      <c r="P17" s="1"/>
      <c r="Q17" s="1"/>
      <c r="R17" s="1"/>
      <c r="S17" s="1"/>
      <c r="AE17" s="1"/>
      <c r="AF17" s="1"/>
      <c r="AG17" s="1"/>
      <c r="AH17" s="1"/>
      <c r="AI17" s="1"/>
      <c r="AK17" s="1"/>
      <c r="AL17" s="1"/>
      <c r="AM17" s="1"/>
      <c r="AN17" s="1"/>
    </row>
    <row r="18" spans="12:40" x14ac:dyDescent="0.25">
      <c r="L18" s="1"/>
      <c r="M18" s="1"/>
      <c r="N18" s="1"/>
      <c r="O18" s="1"/>
      <c r="P18" s="1"/>
      <c r="Q18" s="1"/>
      <c r="R18" s="1"/>
      <c r="S18" s="1"/>
      <c r="AE18" s="1"/>
      <c r="AF18" s="1"/>
      <c r="AG18" s="1"/>
      <c r="AH18" s="1"/>
      <c r="AI18" s="1"/>
      <c r="AK18" s="1"/>
      <c r="AL18" s="1"/>
      <c r="AM18" s="1"/>
      <c r="AN18" s="1"/>
    </row>
    <row r="19" spans="12:40" x14ac:dyDescent="0.25">
      <c r="L19" s="1"/>
      <c r="M19" s="1"/>
      <c r="N19" s="1"/>
      <c r="O19" s="1"/>
      <c r="P19" s="1"/>
      <c r="Q19" s="1"/>
      <c r="R19" s="1"/>
      <c r="S19" s="1"/>
      <c r="AE19" s="1"/>
      <c r="AF19" s="1"/>
      <c r="AG19" s="1"/>
      <c r="AH19" s="1"/>
      <c r="AI19" s="1"/>
      <c r="AK19" s="1"/>
      <c r="AL19" s="1"/>
      <c r="AM19" s="1"/>
      <c r="AN19" s="1"/>
    </row>
    <row r="20" spans="12:40" x14ac:dyDescent="0.25">
      <c r="L20" s="1"/>
      <c r="M20" s="1"/>
      <c r="N20" s="1"/>
      <c r="O20" s="1"/>
      <c r="P20" s="1"/>
      <c r="Q20" s="1"/>
      <c r="R20" s="1"/>
      <c r="S20" s="1"/>
      <c r="AE20" s="1"/>
      <c r="AF20" s="1"/>
      <c r="AG20" s="1"/>
      <c r="AH20" s="1"/>
      <c r="AI20" s="1"/>
      <c r="AK20" s="1"/>
      <c r="AL20" s="1"/>
      <c r="AM20" s="1"/>
      <c r="AN20" s="1"/>
    </row>
    <row r="21" spans="12:40" x14ac:dyDescent="0.25">
      <c r="L21" s="1"/>
      <c r="M21" s="1"/>
      <c r="N21" s="1"/>
      <c r="O21" s="1"/>
      <c r="P21" s="1"/>
      <c r="Q21" s="1"/>
      <c r="R21" s="1"/>
      <c r="S21" s="1"/>
      <c r="AE21" s="1"/>
      <c r="AF21" s="1"/>
      <c r="AG21" s="1"/>
      <c r="AH21" s="1"/>
      <c r="AI21" s="1"/>
      <c r="AK21" s="1"/>
      <c r="AL21" s="1"/>
      <c r="AM21" s="1"/>
      <c r="AN21" s="1"/>
    </row>
    <row r="22" spans="12:40" x14ac:dyDescent="0.25">
      <c r="L22" s="1"/>
      <c r="M22" s="1"/>
      <c r="N22" s="1"/>
      <c r="O22" s="1"/>
      <c r="P22" s="1"/>
      <c r="Q22" s="1"/>
      <c r="R22" s="1"/>
      <c r="S22" s="1"/>
      <c r="AE22" s="1"/>
      <c r="AF22" s="1"/>
      <c r="AG22" s="1"/>
      <c r="AH22" s="1"/>
      <c r="AI22" s="1"/>
      <c r="AK22" s="1"/>
      <c r="AL22" s="1"/>
      <c r="AM22" s="1"/>
      <c r="AN22" s="1"/>
    </row>
    <row r="23" spans="12:40" x14ac:dyDescent="0.25">
      <c r="L23" s="1"/>
      <c r="M23" s="1"/>
      <c r="N23" s="1"/>
      <c r="O23" s="1"/>
      <c r="P23" s="1"/>
      <c r="Q23" s="1"/>
      <c r="R23" s="1"/>
      <c r="S23" s="1"/>
      <c r="AE23" s="1"/>
      <c r="AF23" s="1"/>
      <c r="AG23" s="1"/>
      <c r="AH23" s="1"/>
      <c r="AI23" s="1"/>
      <c r="AK23" s="1"/>
      <c r="AL23" s="1"/>
      <c r="AM23" s="1"/>
      <c r="AN23" s="1"/>
    </row>
    <row r="24" spans="12:40" x14ac:dyDescent="0.25">
      <c r="L24" s="1"/>
      <c r="M24" s="1"/>
      <c r="N24" s="1"/>
      <c r="O24" s="1"/>
      <c r="P24" s="1"/>
      <c r="Q24" s="1"/>
      <c r="R24" s="1"/>
      <c r="S24" s="1"/>
      <c r="AE24" s="1"/>
      <c r="AF24" s="1"/>
      <c r="AG24" s="1"/>
      <c r="AH24" s="1"/>
      <c r="AI24" s="1"/>
      <c r="AK24" s="1"/>
      <c r="AL24" s="1"/>
      <c r="AM24" s="1"/>
      <c r="AN24" s="1"/>
    </row>
    <row r="25" spans="12:40" x14ac:dyDescent="0.25">
      <c r="L25" s="1"/>
      <c r="M25" s="1"/>
      <c r="N25" s="1"/>
      <c r="O25" s="1"/>
      <c r="P25" s="1"/>
      <c r="Q25" s="1"/>
      <c r="R25" s="1"/>
      <c r="S25" s="1"/>
      <c r="AE25" s="1"/>
      <c r="AF25" s="1"/>
      <c r="AG25" s="1"/>
      <c r="AH25" s="1"/>
      <c r="AI25" s="1"/>
      <c r="AK25" s="1"/>
      <c r="AL25" s="1"/>
      <c r="AM25" s="1"/>
      <c r="AN25" s="1"/>
    </row>
    <row r="26" spans="12:40" x14ac:dyDescent="0.25">
      <c r="L26" s="1"/>
      <c r="M26" s="1"/>
      <c r="N26" s="1"/>
      <c r="O26" s="1"/>
      <c r="P26" s="1"/>
      <c r="Q26" s="1"/>
      <c r="R26" s="1"/>
      <c r="S26" s="1"/>
      <c r="AE26" s="1"/>
      <c r="AF26" s="1"/>
      <c r="AG26" s="1"/>
      <c r="AH26" s="1"/>
      <c r="AI26" s="1"/>
      <c r="AK26" s="1"/>
      <c r="AL26" s="1"/>
      <c r="AM26" s="1"/>
      <c r="AN26" s="1"/>
    </row>
    <row r="27" spans="12:40" x14ac:dyDescent="0.25">
      <c r="L27" s="1"/>
      <c r="M27" s="1"/>
      <c r="N27" s="1"/>
      <c r="O27" s="1"/>
      <c r="P27" s="1"/>
      <c r="Q27" s="1"/>
      <c r="R27" s="1"/>
      <c r="S27" s="1"/>
      <c r="AE27" s="1"/>
      <c r="AF27" s="1"/>
      <c r="AG27" s="1"/>
      <c r="AH27" s="1"/>
      <c r="AI27" s="1"/>
      <c r="AK27" s="1"/>
      <c r="AL27" s="1"/>
      <c r="AM27" s="1"/>
      <c r="AN27" s="1"/>
    </row>
    <row r="28" spans="12:40" x14ac:dyDescent="0.25">
      <c r="L28" s="1"/>
      <c r="M28" s="1"/>
      <c r="N28" s="1"/>
      <c r="O28" s="1"/>
      <c r="P28" s="1"/>
      <c r="Q28" s="1"/>
      <c r="R28" s="1"/>
      <c r="S28" s="1"/>
      <c r="AE28" s="1"/>
      <c r="AF28" s="1"/>
      <c r="AG28" s="1"/>
      <c r="AH28" s="1"/>
      <c r="AI28" s="1"/>
      <c r="AK28" s="1"/>
      <c r="AL28" s="1"/>
      <c r="AM28" s="1"/>
      <c r="AN28" s="1"/>
    </row>
    <row r="29" spans="12:40" x14ac:dyDescent="0.25">
      <c r="L29" s="1"/>
      <c r="M29" s="1"/>
      <c r="N29" s="1"/>
      <c r="O29" s="1"/>
      <c r="P29" s="1"/>
      <c r="Q29" s="1"/>
      <c r="R29" s="1"/>
      <c r="S29" s="1"/>
      <c r="AE29" s="1"/>
      <c r="AF29" s="1"/>
      <c r="AG29" s="1"/>
      <c r="AH29" s="1"/>
      <c r="AI29" s="1"/>
      <c r="AK29" s="1"/>
      <c r="AL29" s="1"/>
      <c r="AM29" s="1"/>
      <c r="AN29" s="1"/>
    </row>
    <row r="30" spans="12:40" x14ac:dyDescent="0.25">
      <c r="L30" s="1"/>
      <c r="M30" s="1"/>
      <c r="N30" s="1"/>
      <c r="O30" s="1"/>
      <c r="P30" s="1"/>
      <c r="Q30" s="1"/>
      <c r="R30" s="1"/>
      <c r="S30" s="1"/>
      <c r="AE30" s="1"/>
      <c r="AF30" s="1"/>
      <c r="AG30" s="1"/>
      <c r="AH30" s="1"/>
      <c r="AI30" s="1"/>
      <c r="AK30" s="1"/>
      <c r="AL30" s="1"/>
      <c r="AM30" s="1"/>
      <c r="AN30" s="1"/>
    </row>
    <row r="31" spans="12:40" x14ac:dyDescent="0.25">
      <c r="L31" s="1"/>
      <c r="M31" s="1"/>
      <c r="N31" s="1"/>
      <c r="O31" s="1"/>
      <c r="P31" s="1"/>
      <c r="Q31" s="1"/>
      <c r="R31" s="1"/>
      <c r="S31" s="1"/>
      <c r="AE31" s="1"/>
      <c r="AF31" s="1"/>
      <c r="AG31" s="1"/>
      <c r="AH31" s="1"/>
      <c r="AI31" s="1"/>
      <c r="AK31" s="1"/>
      <c r="AL31" s="1"/>
      <c r="AM31" s="1"/>
      <c r="AN31" s="1"/>
    </row>
    <row r="32" spans="12:40" x14ac:dyDescent="0.25">
      <c r="L32" s="1"/>
      <c r="M32" s="1"/>
      <c r="N32" s="1"/>
      <c r="O32" s="1"/>
      <c r="P32" s="1"/>
      <c r="Q32" s="1"/>
      <c r="R32" s="1"/>
      <c r="S32" s="1"/>
      <c r="AE32" s="1"/>
      <c r="AF32" s="1"/>
      <c r="AG32" s="1"/>
      <c r="AH32" s="1"/>
      <c r="AK32" s="1"/>
      <c r="AL32" s="1"/>
      <c r="AM32" s="1"/>
      <c r="AN32" s="1"/>
    </row>
    <row r="33" spans="37:40" x14ac:dyDescent="0.25">
      <c r="AK33" s="1"/>
      <c r="AL33" s="1"/>
      <c r="AM33" s="1"/>
      <c r="AN33" s="1"/>
    </row>
    <row r="34" spans="37:40" x14ac:dyDescent="0.25">
      <c r="AK34" s="1"/>
      <c r="AL34" s="1"/>
      <c r="AM34" s="1"/>
      <c r="AN34" s="1"/>
    </row>
    <row r="35" spans="37:40" x14ac:dyDescent="0.25">
      <c r="AK35" s="1"/>
      <c r="AL35" s="1"/>
      <c r="AM35" s="1"/>
      <c r="AN35" s="1"/>
    </row>
    <row r="36" spans="37:40" x14ac:dyDescent="0.25">
      <c r="AK36" s="1"/>
      <c r="AL36" s="1"/>
      <c r="AM36" s="1"/>
      <c r="AN36" s="1"/>
    </row>
    <row r="37" spans="37:40" x14ac:dyDescent="0.25">
      <c r="AK37" s="1"/>
      <c r="AL37" s="1"/>
      <c r="AM37" s="1"/>
      <c r="AN37" s="1"/>
    </row>
    <row r="38" spans="37:40" x14ac:dyDescent="0.25">
      <c r="AK38" s="1"/>
      <c r="AL38" s="1"/>
      <c r="AM38" s="1"/>
      <c r="AN38" s="1"/>
    </row>
    <row r="39" spans="37:40" x14ac:dyDescent="0.25">
      <c r="AK39" s="1"/>
      <c r="AL39" s="1"/>
      <c r="AM39" s="1"/>
      <c r="AN39" s="1"/>
    </row>
    <row r="40" spans="37:40" x14ac:dyDescent="0.25">
      <c r="AK40" s="1"/>
      <c r="AL40" s="1"/>
      <c r="AM40" s="1"/>
      <c r="AN40" s="1"/>
    </row>
    <row r="41" spans="37:40" x14ac:dyDescent="0.25">
      <c r="AK41" s="1"/>
      <c r="AL41" s="1"/>
      <c r="AM41" s="1"/>
      <c r="AN41" s="1"/>
    </row>
    <row r="42" spans="37:40" x14ac:dyDescent="0.25">
      <c r="AK42" s="1"/>
      <c r="AL42" s="1"/>
      <c r="AM42" s="1"/>
      <c r="AN42" s="1"/>
    </row>
    <row r="43" spans="37:40" x14ac:dyDescent="0.25">
      <c r="AK43" s="1"/>
      <c r="AL43" s="1"/>
      <c r="AM43" s="1"/>
      <c r="AN43" s="1"/>
    </row>
  </sheetData>
  <mergeCells count="13">
    <mergeCell ref="B1:E1"/>
    <mergeCell ref="G1:J1"/>
    <mergeCell ref="L1:S1"/>
    <mergeCell ref="U2:U3"/>
    <mergeCell ref="U1:AC1"/>
    <mergeCell ref="AK1:AO1"/>
    <mergeCell ref="AE1:AH1"/>
    <mergeCell ref="AK2:AK3"/>
    <mergeCell ref="U10:U11"/>
    <mergeCell ref="U12:U13"/>
    <mergeCell ref="U4:U5"/>
    <mergeCell ref="U6:U7"/>
    <mergeCell ref="U8:U9"/>
  </mergeCells>
  <pageMargins left="0.7" right="0.7" top="0.75" bottom="0.75" header="0.3" footer="0.3"/>
  <pageSetup paperSize="9" orientation="portrait" r:id="rId1"/>
  <ignoredErrors>
    <ignoredError sqref="C3:E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10"/>
  <sheetViews>
    <sheetView workbookViewId="0"/>
  </sheetViews>
  <sheetFormatPr defaultRowHeight="15" x14ac:dyDescent="0.25"/>
  <cols>
    <col min="2" max="2" width="10.85546875" customWidth="1"/>
    <col min="3" max="3" width="31.42578125" customWidth="1"/>
    <col min="4" max="4" width="32.28515625" customWidth="1"/>
    <col min="5" max="5" width="11.5703125" customWidth="1"/>
    <col min="7" max="7" width="13.7109375" customWidth="1"/>
    <col min="8" max="8" width="34.5703125" customWidth="1"/>
    <col min="11" max="12" width="17.5703125" customWidth="1"/>
    <col min="13" max="13" width="18.7109375" customWidth="1"/>
    <col min="14" max="14" width="18" customWidth="1"/>
  </cols>
  <sheetData>
    <row r="1" spans="2:14" ht="42.75" customHeight="1" x14ac:dyDescent="0.25">
      <c r="B1" s="192" t="s">
        <v>107</v>
      </c>
      <c r="C1" s="192"/>
      <c r="D1" s="192"/>
      <c r="E1" s="192"/>
      <c r="G1" s="192" t="s">
        <v>70</v>
      </c>
      <c r="H1" s="181"/>
      <c r="K1" s="200"/>
      <c r="L1" s="200"/>
      <c r="M1" s="200"/>
      <c r="N1" s="200"/>
    </row>
    <row r="2" spans="2:14" ht="60" x14ac:dyDescent="0.25">
      <c r="B2" s="40" t="s">
        <v>4</v>
      </c>
      <c r="C2" s="21" t="s">
        <v>108</v>
      </c>
      <c r="D2" s="21" t="s">
        <v>109</v>
      </c>
      <c r="E2" s="21" t="s">
        <v>16</v>
      </c>
      <c r="G2" s="40" t="s">
        <v>4</v>
      </c>
      <c r="H2" s="21" t="s">
        <v>123</v>
      </c>
      <c r="K2" s="198"/>
      <c r="L2" s="52"/>
      <c r="M2" s="199"/>
      <c r="N2" s="199"/>
    </row>
    <row r="3" spans="2:14" x14ac:dyDescent="0.25">
      <c r="B3" s="6">
        <f>Q!$B$1-5</f>
        <v>2015</v>
      </c>
      <c r="C3" s="104">
        <v>49</v>
      </c>
      <c r="D3" s="104">
        <v>40</v>
      </c>
      <c r="E3" s="65">
        <f t="shared" ref="E3:E9" si="0">IF(ISERR((C3+D3)),"-",(C3+D3))</f>
        <v>89</v>
      </c>
      <c r="G3" s="6">
        <f>Q!$B$1-5</f>
        <v>2015</v>
      </c>
      <c r="H3" s="104" t="str">
        <f>_xlfn.IFNA(IF(ISBLANK(HLOOKUP($B3,Q!$B$11:$R$144,(MATCH("128" &amp; "*",Q!$A$12:$A$144,FALSE)+1))),Q!$B$2,HLOOKUP($B3,Q!$B$11:$R$144,(MATCH("128"&amp;"*",Q!$A$12:$A$144,FALSE)+1))),Q!$B$2)</f>
        <v>n.a.</v>
      </c>
      <c r="K3" s="198"/>
      <c r="L3" s="5"/>
      <c r="M3" s="5"/>
      <c r="N3" s="52"/>
    </row>
    <row r="4" spans="2:14" x14ac:dyDescent="0.25">
      <c r="B4" s="6">
        <f>Q!$B$1-4</f>
        <v>2016</v>
      </c>
      <c r="C4" s="104">
        <v>43</v>
      </c>
      <c r="D4" s="104">
        <v>36</v>
      </c>
      <c r="E4" s="65">
        <f t="shared" si="0"/>
        <v>79</v>
      </c>
      <c r="G4" s="6">
        <f>Q!$B$1-4</f>
        <v>2016</v>
      </c>
      <c r="H4" s="104" t="str">
        <f>_xlfn.IFNA(IF(ISBLANK(HLOOKUP($B4,Q!$B$11:$R$144,(MATCH("128" &amp; "*",Q!$A$12:$A$144,FALSE)+1))),Q!$B$2,HLOOKUP($B4,Q!$B$11:$R$144,(MATCH("128"&amp;"*",Q!$A$12:$A$144,FALSE)+1))),Q!$B$2)</f>
        <v>n.a.</v>
      </c>
      <c r="K4" s="68"/>
      <c r="L4" s="18"/>
      <c r="M4" s="69"/>
      <c r="N4" s="53"/>
    </row>
    <row r="5" spans="2:14" x14ac:dyDescent="0.25">
      <c r="B5" s="6">
        <f>Q!$B$1-3</f>
        <v>2017</v>
      </c>
      <c r="C5" s="104">
        <v>36</v>
      </c>
      <c r="D5" s="104">
        <v>37</v>
      </c>
      <c r="E5" s="65">
        <f t="shared" si="0"/>
        <v>73</v>
      </c>
      <c r="G5" s="6">
        <f>Q!$B$1-3</f>
        <v>2017</v>
      </c>
      <c r="H5" s="104" t="str">
        <f>_xlfn.IFNA(IF(ISBLANK(HLOOKUP($B5,Q!$B$11:$R$144,(MATCH("128" &amp; "*",Q!$A$12:$A$144,FALSE)+1))),Q!$B$2,HLOOKUP($B5,Q!$B$11:$R$144,(MATCH("128"&amp;"*",Q!$A$12:$A$144,FALSE)+1))),Q!$B$2)</f>
        <v>n.a.</v>
      </c>
      <c r="K5" s="68"/>
      <c r="L5" s="18"/>
      <c r="M5" s="69"/>
      <c r="N5" s="53"/>
    </row>
    <row r="6" spans="2:14" x14ac:dyDescent="0.25">
      <c r="B6" s="6">
        <f>Q!$B$1-2</f>
        <v>2018</v>
      </c>
      <c r="C6" s="104">
        <v>36</v>
      </c>
      <c r="D6" s="104">
        <v>36</v>
      </c>
      <c r="E6" s="65">
        <f t="shared" si="0"/>
        <v>72</v>
      </c>
      <c r="G6" s="6">
        <f>Q!$B$1-2</f>
        <v>2018</v>
      </c>
      <c r="H6" s="104" t="str">
        <f>_xlfn.IFNA(IF(ISBLANK(HLOOKUP($B6,Q!$B$11:$R$144,(MATCH("128" &amp; "*",Q!$A$12:$A$144,FALSE)+1))),Q!$B$2,HLOOKUP($B6,Q!$B$11:$R$144,(MATCH("128"&amp;"*",Q!$A$12:$A$144,FALSE)+1))),Q!$B$2)</f>
        <v>n.a.</v>
      </c>
      <c r="K6" s="68"/>
      <c r="L6" s="18"/>
      <c r="M6" s="69"/>
      <c r="N6" s="53"/>
    </row>
    <row r="7" spans="2:14" x14ac:dyDescent="0.25">
      <c r="B7" s="6">
        <f>Q!$B$1-1</f>
        <v>2019</v>
      </c>
      <c r="C7" s="104">
        <v>36</v>
      </c>
      <c r="D7" s="104">
        <v>35</v>
      </c>
      <c r="E7" s="65">
        <f t="shared" si="0"/>
        <v>71</v>
      </c>
      <c r="G7" s="6">
        <f>Q!$B$1-1</f>
        <v>2019</v>
      </c>
      <c r="H7" s="104" t="str">
        <f>_xlfn.IFNA(IF(ISBLANK(HLOOKUP($B7,Q!$B$11:$R$144,(MATCH("128" &amp; "*",Q!$A$12:$A$144,FALSE)+1))),Q!$B$2,HLOOKUP($B7,Q!$B$11:$R$144,(MATCH("128"&amp;"*",Q!$A$12:$A$144,FALSE)+1))),Q!$B$2)</f>
        <v>n.a.</v>
      </c>
      <c r="K7" s="68"/>
      <c r="L7" s="18"/>
      <c r="M7" s="69"/>
      <c r="N7" s="53"/>
    </row>
    <row r="8" spans="2:14" x14ac:dyDescent="0.25">
      <c r="B8" s="6">
        <f>Q!$B$1</f>
        <v>2020</v>
      </c>
      <c r="C8" s="104">
        <v>35</v>
      </c>
      <c r="D8" s="104">
        <v>33</v>
      </c>
      <c r="E8" s="65">
        <f t="shared" ref="E8" si="1">IF(ISERR((C8+D8)),"-",(C8+D8))</f>
        <v>68</v>
      </c>
      <c r="G8" s="6">
        <f>Q!$B$1</f>
        <v>2020</v>
      </c>
      <c r="H8" s="104" t="str">
        <f>_xlfn.IFNA(IF(ISBLANK(HLOOKUP($B9,Q!$B$11:$R$144,(MATCH("128" &amp; "*",Q!$A$12:$A$144,FALSE)+1))),Q!$B$2,HLOOKUP($B9,Q!$B$11:$R$144,(MATCH("128"&amp;"*",Q!$A$12:$A$144,FALSE)+1))),Q!$B$2)</f>
        <v>n.a.</v>
      </c>
      <c r="K8" s="68"/>
      <c r="L8" s="18"/>
      <c r="M8" s="69"/>
      <c r="N8" s="53"/>
    </row>
    <row r="9" spans="2:14" x14ac:dyDescent="0.25">
      <c r="B9" s="6">
        <f>Q!$B$1+1</f>
        <v>2021</v>
      </c>
      <c r="C9" s="104">
        <v>32</v>
      </c>
      <c r="D9" s="104">
        <v>32</v>
      </c>
      <c r="E9" s="65">
        <f t="shared" si="0"/>
        <v>64</v>
      </c>
      <c r="G9" s="1" t="s">
        <v>71</v>
      </c>
      <c r="K9" s="68"/>
      <c r="L9" s="18"/>
      <c r="M9" s="69"/>
      <c r="N9" s="53"/>
    </row>
    <row r="10" spans="2:14" x14ac:dyDescent="0.25">
      <c r="B10" s="1" t="s">
        <v>28</v>
      </c>
      <c r="K10" s="1"/>
      <c r="L10" s="1"/>
      <c r="M10" s="1"/>
      <c r="N10" s="1"/>
    </row>
  </sheetData>
  <mergeCells count="5">
    <mergeCell ref="K2:K3"/>
    <mergeCell ref="M2:N2"/>
    <mergeCell ref="B1:E1"/>
    <mergeCell ref="G1:H1"/>
    <mergeCell ref="K1:N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0167-CCE5-49B8-A427-7096C179FCF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Q</vt:lpstr>
      <vt:lpstr>Település Bemutatása - Népesség</vt:lpstr>
      <vt:lpstr>3. Mélyszegények-Romák</vt:lpstr>
      <vt:lpstr>4. Gyermekek</vt:lpstr>
      <vt:lpstr>5. Nők</vt:lpstr>
      <vt:lpstr>6. Idősek</vt:lpstr>
      <vt:lpstr>7.Fogyatékkal élők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Scheweiglné Sipos Éva</dc:creator>
  <cp:lastModifiedBy>Frank Enikő</cp:lastModifiedBy>
  <dcterms:created xsi:type="dcterms:W3CDTF">2021-07-28T08:41:02Z</dcterms:created>
  <dcterms:modified xsi:type="dcterms:W3CDTF">2023-02-09T08:59:00Z</dcterms:modified>
</cp:coreProperties>
</file>