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erep.zsolt\AppData\Local\Microsoft\Windows\INetCache\Content.Outlook\ISOYN6G9\"/>
    </mc:Choice>
  </mc:AlternateContent>
  <xr:revisionPtr revIDLastSave="0" documentId="8_{FF0679D3-E4FD-442D-828D-9A4B05EDF511}" xr6:coauthVersionLast="45" xr6:coauthVersionMax="45" xr10:uidLastSave="{00000000-0000-0000-0000-000000000000}"/>
  <bookViews>
    <workbookView xWindow="28680" yWindow="-120" windowWidth="29040" windowHeight="15990" xr2:uid="{8838701F-630C-4FA2-A07A-47C7BCAE14E0}"/>
  </bookViews>
  <sheets>
    <sheet name="Munka2" sheetId="2" r:id="rId1"/>
    <sheet name="Munka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8" i="2"/>
  <c r="C10" i="2" s="1"/>
  <c r="C7" i="2"/>
  <c r="K36" i="1"/>
  <c r="K31" i="1"/>
  <c r="C3" i="2"/>
  <c r="E4" i="2" s="1"/>
  <c r="L9" i="1"/>
  <c r="L1" i="1" s="1"/>
  <c r="M9" i="1"/>
  <c r="C10" i="1"/>
  <c r="C14" i="1"/>
  <c r="L42" i="1"/>
  <c r="M42" i="1" s="1"/>
  <c r="L44" i="1"/>
  <c r="M44" i="1" s="1"/>
  <c r="L43" i="1"/>
  <c r="C13" i="1"/>
  <c r="E1" i="1"/>
  <c r="F1" i="1"/>
  <c r="G1" i="1"/>
  <c r="H1" i="1"/>
  <c r="I1" i="1"/>
  <c r="J1" i="1"/>
  <c r="K1" i="1"/>
  <c r="D1" i="1"/>
  <c r="K2" i="1"/>
  <c r="D6" i="1"/>
  <c r="D2" i="1" s="1"/>
  <c r="K6" i="1"/>
  <c r="H6" i="1"/>
  <c r="H2" i="1" s="1"/>
  <c r="X31" i="1"/>
  <c r="E35" i="1"/>
  <c r="H35" i="1" s="1"/>
  <c r="J35" i="1" s="1"/>
  <c r="T26" i="1"/>
  <c r="U26" i="1"/>
  <c r="V26" i="1"/>
  <c r="W26" i="1"/>
  <c r="S26" i="1"/>
  <c r="S27" i="1" s="1"/>
  <c r="E6" i="1"/>
  <c r="E2" i="1" s="1"/>
  <c r="F6" i="1"/>
  <c r="F2" i="1" s="1"/>
  <c r="B10" i="2" l="1"/>
  <c r="E10" i="2"/>
  <c r="E13" i="2" s="1"/>
  <c r="I10" i="2"/>
  <c r="F11" i="2"/>
  <c r="J11" i="2"/>
  <c r="G12" i="2"/>
  <c r="K12" i="2"/>
  <c r="F10" i="2"/>
  <c r="J10" i="2"/>
  <c r="G11" i="2"/>
  <c r="K11" i="2"/>
  <c r="H12" i="2"/>
  <c r="D11" i="2"/>
  <c r="G10" i="2"/>
  <c r="K10" i="2"/>
  <c r="H11" i="2"/>
  <c r="I12" i="2"/>
  <c r="I13" i="2" s="1"/>
  <c r="D12" i="2"/>
  <c r="H10" i="2"/>
  <c r="E11" i="2"/>
  <c r="F12" i="2"/>
  <c r="D10" i="2"/>
  <c r="E12" i="2"/>
  <c r="I11" i="2"/>
  <c r="J12" i="2"/>
  <c r="J13" i="2" s="1"/>
  <c r="D4" i="2"/>
  <c r="H4" i="2"/>
  <c r="K4" i="2"/>
  <c r="G4" i="2"/>
  <c r="J4" i="2"/>
  <c r="F4" i="2"/>
  <c r="I4" i="2"/>
  <c r="H13" i="2"/>
  <c r="H45" i="1"/>
  <c r="F45" i="1"/>
  <c r="J45" i="1"/>
  <c r="G46" i="1"/>
  <c r="K46" i="1"/>
  <c r="H47" i="1"/>
  <c r="D46" i="1"/>
  <c r="G45" i="1"/>
  <c r="G48" i="1" s="1"/>
  <c r="K45" i="1"/>
  <c r="H46" i="1"/>
  <c r="E47" i="1"/>
  <c r="I47" i="1"/>
  <c r="D47" i="1"/>
  <c r="E46" i="1"/>
  <c r="I46" i="1"/>
  <c r="F47" i="1"/>
  <c r="J47" i="1"/>
  <c r="D45" i="1"/>
  <c r="E45" i="1"/>
  <c r="I45" i="1"/>
  <c r="I48" i="1" s="1"/>
  <c r="F46" i="1"/>
  <c r="J46" i="1"/>
  <c r="G47" i="1"/>
  <c r="K47" i="1"/>
  <c r="M2" i="1"/>
  <c r="M1" i="1"/>
  <c r="L6" i="1"/>
  <c r="K10" i="1"/>
  <c r="M21" i="1"/>
  <c r="M22" i="1"/>
  <c r="M23" i="1"/>
  <c r="M24" i="1"/>
  <c r="M25" i="1"/>
  <c r="M26" i="1"/>
  <c r="M27" i="1"/>
  <c r="E20" i="1"/>
  <c r="F20" i="1"/>
  <c r="G20" i="1"/>
  <c r="H20" i="1"/>
  <c r="I20" i="1"/>
  <c r="J20" i="1"/>
  <c r="K20" i="1"/>
  <c r="D20" i="1"/>
  <c r="E10" i="1"/>
  <c r="F10" i="1"/>
  <c r="G10" i="1"/>
  <c r="H10" i="1"/>
  <c r="I10" i="1"/>
  <c r="J10" i="1"/>
  <c r="D10" i="1"/>
  <c r="M11" i="1"/>
  <c r="M13" i="1"/>
  <c r="M14" i="1"/>
  <c r="M15" i="1"/>
  <c r="M16" i="1"/>
  <c r="C9" i="1"/>
  <c r="N26" i="1"/>
  <c r="N27" i="1"/>
  <c r="I36" i="1"/>
  <c r="I32" i="1"/>
  <c r="I31" i="1"/>
  <c r="E31" i="1"/>
  <c r="E32" i="1"/>
  <c r="H32" i="1" s="1"/>
  <c r="E33" i="1"/>
  <c r="E34" i="1"/>
  <c r="E36" i="1"/>
  <c r="E37" i="1"/>
  <c r="I30" i="1"/>
  <c r="F38" i="1"/>
  <c r="G38" i="1"/>
  <c r="D38" i="1"/>
  <c r="H33" i="1"/>
  <c r="H34" i="1"/>
  <c r="H36" i="1"/>
  <c r="H37" i="1"/>
  <c r="E30" i="1"/>
  <c r="H30" i="1" s="1"/>
  <c r="J30" i="1" s="1"/>
  <c r="D13" i="2" l="1"/>
  <c r="F13" i="2"/>
  <c r="C13" i="2" s="1"/>
  <c r="K13" i="2"/>
  <c r="G13" i="2"/>
  <c r="F48" i="1"/>
  <c r="K48" i="1"/>
  <c r="D48" i="1"/>
  <c r="E48" i="1"/>
  <c r="J48" i="1"/>
  <c r="H48" i="1"/>
  <c r="J36" i="1"/>
  <c r="J34" i="1"/>
  <c r="N10" i="1"/>
  <c r="M10" i="1"/>
  <c r="M20" i="1"/>
  <c r="J33" i="1"/>
  <c r="J37" i="1"/>
  <c r="J32" i="1"/>
  <c r="I38" i="1"/>
  <c r="E38" i="1"/>
  <c r="H31" i="1"/>
  <c r="L48" i="1" l="1"/>
  <c r="H38" i="1"/>
  <c r="J38" i="1" s="1"/>
  <c r="R11" i="1" l="1"/>
  <c r="R23" i="1" l="1"/>
  <c r="R12" i="1"/>
  <c r="R25" i="1"/>
  <c r="R16" i="1"/>
  <c r="R15" i="1"/>
  <c r="R20" i="1"/>
  <c r="R18" i="1"/>
  <c r="R13" i="1"/>
  <c r="R22" i="1"/>
  <c r="R19" i="1"/>
  <c r="R21" i="1"/>
  <c r="R26" i="1" l="1"/>
</calcChain>
</file>

<file path=xl/sharedStrings.xml><?xml version="1.0" encoding="utf-8"?>
<sst xmlns="http://schemas.openxmlformats.org/spreadsheetml/2006/main" count="144" uniqueCount="88">
  <si>
    <t>Intézményvezető</t>
  </si>
  <si>
    <t>Bencsik Zsolt</t>
  </si>
  <si>
    <t>Intézményvezető helyettes</t>
  </si>
  <si>
    <t>Ispánki Réka</t>
  </si>
  <si>
    <t>Szolgálat szakmai vezető</t>
  </si>
  <si>
    <t>Szociális Gondozás vezető/koordinátor</t>
  </si>
  <si>
    <t>Maus Anna</t>
  </si>
  <si>
    <t>Farkas Szemján Anita</t>
  </si>
  <si>
    <t>Nádai Kinga</t>
  </si>
  <si>
    <t>Szociális étkeztetés</t>
  </si>
  <si>
    <t>Hegedűs Eszter</t>
  </si>
  <si>
    <t>Együttműködő települések</t>
  </si>
  <si>
    <t>Lélekszám</t>
  </si>
  <si>
    <t>Budakeszi</t>
  </si>
  <si>
    <t>Budajenő</t>
  </si>
  <si>
    <t>Pilisjászfalu</t>
  </si>
  <si>
    <t>Remeteszőlős</t>
  </si>
  <si>
    <t>Telki</t>
  </si>
  <si>
    <t>Tinnye</t>
  </si>
  <si>
    <t>Tök</t>
  </si>
  <si>
    <t>Nagykovácsi</t>
  </si>
  <si>
    <t>Összesen</t>
  </si>
  <si>
    <t>Havi bér</t>
  </si>
  <si>
    <t>Éves bér</t>
  </si>
  <si>
    <t>Járulék</t>
  </si>
  <si>
    <t>Munkaruha juttatás</t>
  </si>
  <si>
    <t>Közlekedési ktgtérítés</t>
  </si>
  <si>
    <t>Cafetéria</t>
  </si>
  <si>
    <t>Településen dolgozóink létszáma:</t>
  </si>
  <si>
    <t>- házi segítségnyújtás</t>
  </si>
  <si>
    <t>- központ</t>
  </si>
  <si>
    <t>- szolgálat</t>
  </si>
  <si>
    <t>- időskorúak nappali ellátása</t>
  </si>
  <si>
    <t>Hegedűs Andrea</t>
  </si>
  <si>
    <t>- szociális étkeztetés</t>
  </si>
  <si>
    <t>Ágazati pótlék nélkül</t>
  </si>
  <si>
    <t>Mindegyiket beírtam?</t>
  </si>
  <si>
    <t>- jelzőrendszer</t>
  </si>
  <si>
    <t>- kapcsolatügyelet</t>
  </si>
  <si>
    <t>Becsült ellátotti létszám</t>
  </si>
  <si>
    <t>- óvodai iskolai szoc.munka</t>
  </si>
  <si>
    <t>Szolgálat asszisztens</t>
  </si>
  <si>
    <t>Általános asszisztens</t>
  </si>
  <si>
    <t>2 fő</t>
  </si>
  <si>
    <t>1 fő</t>
  </si>
  <si>
    <t>Biatorbágy</t>
  </si>
  <si>
    <t>Herceghalom</t>
  </si>
  <si>
    <t>Páty</t>
  </si>
  <si>
    <t>Perbál</t>
  </si>
  <si>
    <t>Szolgálat</t>
  </si>
  <si>
    <t>BKF</t>
  </si>
  <si>
    <t>BÖT</t>
  </si>
  <si>
    <t>Központ</t>
  </si>
  <si>
    <t>Járás</t>
  </si>
  <si>
    <t>Budaörs</t>
  </si>
  <si>
    <t>Zsámbék</t>
  </si>
  <si>
    <t>intézményvezető</t>
  </si>
  <si>
    <t xml:space="preserve">1 fő </t>
  </si>
  <si>
    <t xml:space="preserve"> 1 fő</t>
  </si>
  <si>
    <t>esetmenedzser</t>
  </si>
  <si>
    <t>7.000 fő járási lakosságszámra vetítve, de minimum 3 fő</t>
  </si>
  <si>
    <t>szociális diagnózist készítő</t>
  </si>
  <si>
    <t>asszisztens</t>
  </si>
  <si>
    <t>10.000 fő járási lakosságszámra vetítve</t>
  </si>
  <si>
    <t>4.000 fő lakosságszámra vetítve 1 fő, de minimum 1 fő.</t>
  </si>
  <si>
    <t>esetmenedzser/tanácsadó</t>
  </si>
  <si>
    <t>szoc. asszisztens</t>
  </si>
  <si>
    <t>családsegítő</t>
  </si>
  <si>
    <t>óvodai és iskolai szocális segítő</t>
  </si>
  <si>
    <t>15 fő</t>
  </si>
  <si>
    <t>1.000 fő köznevelési intézményben nyilvántartott gyermekre vetítve</t>
  </si>
  <si>
    <t>HSNy</t>
  </si>
  <si>
    <t>gondozó/ápoló</t>
  </si>
  <si>
    <t>gondozási naplóban összesített óraszám alapján</t>
  </si>
  <si>
    <t>Nappali intézmény</t>
  </si>
  <si>
    <t>50 főre vetítve</t>
  </si>
  <si>
    <t>Étkeztetés</t>
  </si>
  <si>
    <t>100 fő felett</t>
  </si>
  <si>
    <r>
      <rPr>
        <sz val="10"/>
        <color rgb="FFFF0000"/>
        <rFont val="Times New Roman"/>
        <family val="1"/>
        <charset val="238"/>
      </rPr>
      <t>Páris</t>
    </r>
    <r>
      <rPr>
        <sz val="10"/>
        <color theme="1"/>
        <rFont val="Times New Roman"/>
        <family val="1"/>
        <charset val="238"/>
      </rPr>
      <t xml:space="preserve"> Zsófia</t>
    </r>
  </si>
  <si>
    <t>Központ többi</t>
  </si>
  <si>
    <t>hsny</t>
  </si>
  <si>
    <t>nappali</t>
  </si>
  <si>
    <t xml:space="preserve"> </t>
  </si>
  <si>
    <t>- technikai dolgozó</t>
  </si>
  <si>
    <t>HSNY</t>
  </si>
  <si>
    <t>Egyéb</t>
  </si>
  <si>
    <t>Munkavállalói létszám arányos menedzsment ktg.</t>
  </si>
  <si>
    <t>Lakosságszám arányos menedzsent ktg.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</si>
</sst>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70C0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0"/>
      <color rgb="FFE616F6"/>
      <name val="Times New Roman"/>
      <family val="1"/>
      <charset val="238"/>
    </font>
    <font>
      <sz val="10"/>
      <color theme="8" tint="-0.249977111117893"/>
      <name val="Times New Roman"/>
      <family val="1"/>
      <charset val="238"/>
    </font>
    <font>
      <sz val="10"/>
      <color rgb="FF9900CC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9900CC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64" fontId="2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1" xfId="0" quotePrefix="1" applyFont="1" applyBorder="1" applyAlignment="1">
      <alignment horizontal="left" indent="2"/>
    </xf>
    <xf numFmtId="4" fontId="1" fillId="2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164" fontId="2" fillId="0" borderId="1" xfId="0" applyNumberFormat="1" applyFont="1" applyBorder="1"/>
    <xf numFmtId="0" fontId="3" fillId="0" borderId="0" xfId="0" applyFont="1"/>
    <xf numFmtId="0" fontId="1" fillId="2" borderId="3" xfId="0" applyFont="1" applyFill="1" applyBorder="1"/>
    <xf numFmtId="4" fontId="1" fillId="2" borderId="3" xfId="0" applyNumberFormat="1" applyFont="1" applyFill="1" applyBorder="1"/>
    <xf numFmtId="4" fontId="1" fillId="0" borderId="3" xfId="0" applyNumberFormat="1" applyFont="1" applyBorder="1"/>
    <xf numFmtId="0" fontId="1" fillId="0" borderId="2" xfId="0" quotePrefix="1" applyFont="1" applyBorder="1" applyAlignment="1">
      <alignment horizontal="left" indent="2"/>
    </xf>
    <xf numFmtId="4" fontId="1" fillId="2" borderId="2" xfId="0" applyNumberFormat="1" applyFont="1" applyFill="1" applyBorder="1"/>
    <xf numFmtId="4" fontId="1" fillId="0" borderId="2" xfId="0" applyNumberFormat="1" applyFont="1" applyBorder="1"/>
    <xf numFmtId="0" fontId="3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8" fillId="0" borderId="1" xfId="0" applyFont="1" applyBorder="1"/>
    <xf numFmtId="4" fontId="6" fillId="0" borderId="1" xfId="0" applyNumberFormat="1" applyFont="1" applyBorder="1"/>
    <xf numFmtId="4" fontId="9" fillId="0" borderId="1" xfId="0" applyNumberFormat="1" applyFont="1" applyBorder="1"/>
    <xf numFmtId="4" fontId="8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/>
    <xf numFmtId="3" fontId="1" fillId="0" borderId="1" xfId="0" applyNumberFormat="1" applyFont="1" applyBorder="1"/>
    <xf numFmtId="3" fontId="5" fillId="0" borderId="1" xfId="0" applyNumberFormat="1" applyFont="1" applyBorder="1"/>
    <xf numFmtId="3" fontId="1" fillId="0" borderId="1" xfId="0" applyNumberFormat="1" applyFont="1" applyBorder="1" applyAlignment="1">
      <alignment wrapText="1"/>
    </xf>
    <xf numFmtId="2" fontId="1" fillId="0" borderId="0" xfId="0" applyNumberFormat="1" applyFont="1"/>
    <xf numFmtId="0" fontId="11" fillId="0" borderId="1" xfId="0" applyFont="1" applyBorder="1"/>
    <xf numFmtId="4" fontId="11" fillId="0" borderId="1" xfId="0" applyNumberFormat="1" applyFont="1" applyBorder="1"/>
    <xf numFmtId="0" fontId="6" fillId="0" borderId="0" xfId="0" applyFont="1" applyAlignment="1">
      <alignment horizontal="right"/>
    </xf>
    <xf numFmtId="4" fontId="6" fillId="0" borderId="0" xfId="0" applyNumberFormat="1" applyFont="1" applyBorder="1"/>
    <xf numFmtId="164" fontId="3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 applyBorder="1"/>
    <xf numFmtId="0" fontId="3" fillId="0" borderId="1" xfId="0" quotePrefix="1" applyFont="1" applyBorder="1" applyAlignment="1">
      <alignment horizontal="left" indent="2"/>
    </xf>
    <xf numFmtId="4" fontId="3" fillId="2" borderId="1" xfId="0" applyNumberFormat="1" applyFont="1" applyFill="1" applyBorder="1"/>
    <xf numFmtId="0" fontId="5" fillId="0" borderId="1" xfId="0" quotePrefix="1" applyFont="1" applyBorder="1" applyAlignment="1">
      <alignment horizontal="left" indent="2"/>
    </xf>
    <xf numFmtId="4" fontId="5" fillId="2" borderId="1" xfId="0" applyNumberFormat="1" applyFont="1" applyFill="1" applyBorder="1"/>
    <xf numFmtId="4" fontId="5" fillId="0" borderId="1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4" fontId="8" fillId="0" borderId="0" xfId="0" applyNumberFormat="1" applyFont="1" applyBorder="1"/>
    <xf numFmtId="4" fontId="3" fillId="0" borderId="0" xfId="0" applyNumberFormat="1" applyFont="1" applyBorder="1"/>
    <xf numFmtId="4" fontId="9" fillId="0" borderId="0" xfId="0" applyNumberFormat="1" applyFont="1" applyBorder="1"/>
    <xf numFmtId="4" fontId="10" fillId="0" borderId="0" xfId="0" applyNumberFormat="1" applyFont="1" applyBorder="1"/>
    <xf numFmtId="164" fontId="8" fillId="0" borderId="1" xfId="0" applyNumberFormat="1" applyFont="1" applyBorder="1"/>
    <xf numFmtId="164" fontId="3" fillId="0" borderId="1" xfId="0" applyNumberFormat="1" applyFont="1" applyBorder="1"/>
    <xf numFmtId="164" fontId="9" fillId="0" borderId="1" xfId="0" applyNumberFormat="1" applyFont="1" applyBorder="1"/>
    <xf numFmtId="164" fontId="6" fillId="0" borderId="1" xfId="0" applyNumberFormat="1" applyFont="1" applyBorder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Alignment="1">
      <alignment wrapText="1"/>
    </xf>
    <xf numFmtId="0" fontId="12" fillId="0" borderId="1" xfId="0" applyFont="1" applyBorder="1"/>
    <xf numFmtId="164" fontId="12" fillId="0" borderId="1" xfId="0" applyNumberFormat="1" applyFont="1" applyBorder="1"/>
    <xf numFmtId="4" fontId="12" fillId="0" borderId="0" xfId="0" applyNumberFormat="1" applyFont="1" applyBorder="1"/>
    <xf numFmtId="2" fontId="2" fillId="0" borderId="0" xfId="0" applyNumberFormat="1" applyFont="1"/>
    <xf numFmtId="2" fontId="2" fillId="0" borderId="4" xfId="0" applyNumberFormat="1" applyFont="1" applyBorder="1"/>
    <xf numFmtId="0" fontId="4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00CC"/>
      <color rgb="FFE616F6"/>
      <color rgb="FFE8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A366-E08F-435C-88C9-BFE77465A486}">
  <dimension ref="B2:M13"/>
  <sheetViews>
    <sheetView tabSelected="1" workbookViewId="0">
      <selection activeCell="B15" sqref="B15"/>
    </sheetView>
  </sheetViews>
  <sheetFormatPr defaultRowHeight="14.4" x14ac:dyDescent="0.3"/>
  <cols>
    <col min="2" max="2" width="23.44140625" customWidth="1"/>
    <col min="3" max="3" width="13.109375" bestFit="1" customWidth="1"/>
    <col min="4" max="10" width="13.88671875" bestFit="1" customWidth="1"/>
    <col min="11" max="11" width="13.88671875" style="77" bestFit="1" customWidth="1"/>
    <col min="13" max="13" width="10.88671875" bestFit="1" customWidth="1"/>
  </cols>
  <sheetData>
    <row r="2" spans="2:13" x14ac:dyDescent="0.3">
      <c r="B2" s="5" t="s">
        <v>11</v>
      </c>
      <c r="C2" s="5" t="s">
        <v>21</v>
      </c>
      <c r="D2" s="28" t="s">
        <v>13</v>
      </c>
      <c r="E2" s="21" t="s">
        <v>14</v>
      </c>
      <c r="F2" s="22" t="s">
        <v>15</v>
      </c>
      <c r="G2" s="21" t="s">
        <v>16</v>
      </c>
      <c r="H2" s="26" t="s">
        <v>17</v>
      </c>
      <c r="I2" s="22" t="s">
        <v>18</v>
      </c>
      <c r="J2" s="21" t="s">
        <v>19</v>
      </c>
      <c r="K2" s="72" t="s">
        <v>20</v>
      </c>
    </row>
    <row r="3" spans="2:13" x14ac:dyDescent="0.3">
      <c r="B3" s="5" t="s">
        <v>12</v>
      </c>
      <c r="C3" s="6">
        <f>SUM(D3:K3)</f>
        <v>36499</v>
      </c>
      <c r="D3" s="64">
        <v>15252</v>
      </c>
      <c r="E3" s="65">
        <v>2159</v>
      </c>
      <c r="F3" s="66">
        <v>1768</v>
      </c>
      <c r="G3" s="65">
        <v>1051</v>
      </c>
      <c r="H3" s="67">
        <v>4361</v>
      </c>
      <c r="I3" s="66">
        <v>1860</v>
      </c>
      <c r="J3" s="65">
        <v>1397</v>
      </c>
      <c r="K3" s="73">
        <v>8651</v>
      </c>
      <c r="M3" s="32">
        <v>15325924.5</v>
      </c>
    </row>
    <row r="4" spans="2:13" ht="27" x14ac:dyDescent="0.3">
      <c r="B4" s="68" t="s">
        <v>87</v>
      </c>
      <c r="C4" s="69"/>
      <c r="D4" s="70">
        <f t="shared" ref="D4:K4" si="0">+D3/$C$3*$M$3</f>
        <v>6404312.4599030111</v>
      </c>
      <c r="E4" s="70">
        <f t="shared" si="0"/>
        <v>906563.76874708897</v>
      </c>
      <c r="F4" s="70">
        <f t="shared" si="0"/>
        <v>742382.92873777356</v>
      </c>
      <c r="G4" s="70">
        <f t="shared" si="0"/>
        <v>441314.73874626704</v>
      </c>
      <c r="H4" s="70">
        <f t="shared" si="0"/>
        <v>1831183.230896737</v>
      </c>
      <c r="I4" s="70">
        <f t="shared" si="0"/>
        <v>781013.7146223184</v>
      </c>
      <c r="J4" s="70">
        <f t="shared" si="0"/>
        <v>586600.08565988112</v>
      </c>
      <c r="K4" s="70">
        <f t="shared" si="0"/>
        <v>3632553.5726869227</v>
      </c>
      <c r="M4" s="63"/>
    </row>
    <row r="5" spans="2:13" x14ac:dyDescent="0.3">
      <c r="B5" s="58"/>
      <c r="C5" s="59"/>
      <c r="D5" s="60"/>
      <c r="E5" s="61"/>
      <c r="F5" s="62"/>
      <c r="G5" s="61"/>
      <c r="H5" s="47"/>
      <c r="I5" s="62"/>
      <c r="J5" s="61"/>
      <c r="K5" s="74"/>
      <c r="M5" s="63"/>
    </row>
    <row r="7" spans="2:13" x14ac:dyDescent="0.3">
      <c r="B7" s="1" t="s">
        <v>85</v>
      </c>
      <c r="C7" s="43">
        <f>SUM(D7:K7)</f>
        <v>38</v>
      </c>
      <c r="D7" s="43">
        <v>38</v>
      </c>
      <c r="E7" s="1"/>
      <c r="F7" s="1"/>
      <c r="G7" s="1"/>
      <c r="H7" s="1"/>
      <c r="I7" s="1"/>
      <c r="J7" s="1"/>
      <c r="K7" s="36"/>
    </row>
    <row r="8" spans="2:13" x14ac:dyDescent="0.3">
      <c r="B8" s="1" t="s">
        <v>49</v>
      </c>
      <c r="C8" s="43">
        <f>SUM(D8:K8)</f>
        <v>11.75</v>
      </c>
      <c r="D8" s="43">
        <v>6.75</v>
      </c>
      <c r="E8" s="43">
        <v>1</v>
      </c>
      <c r="F8" s="43">
        <v>1</v>
      </c>
      <c r="G8" s="43"/>
      <c r="H8" s="43">
        <v>1</v>
      </c>
      <c r="I8" s="43"/>
      <c r="J8" s="43"/>
      <c r="K8" s="75">
        <v>2</v>
      </c>
      <c r="M8" s="1"/>
    </row>
    <row r="9" spans="2:13" ht="15" thickBot="1" x14ac:dyDescent="0.35">
      <c r="B9" s="56" t="s">
        <v>84</v>
      </c>
      <c r="C9" s="57">
        <f>SUM(D9:K9)</f>
        <v>6.25</v>
      </c>
      <c r="D9" s="57">
        <v>3</v>
      </c>
      <c r="E9" s="57"/>
      <c r="F9" s="57"/>
      <c r="G9" s="57"/>
      <c r="H9" s="57"/>
      <c r="I9" s="57"/>
      <c r="J9" s="57">
        <v>1</v>
      </c>
      <c r="K9" s="76">
        <v>2.25</v>
      </c>
    </row>
    <row r="10" spans="2:13" x14ac:dyDescent="0.3">
      <c r="B10" s="43">
        <f>+C9+C8</f>
        <v>18</v>
      </c>
      <c r="C10" s="43">
        <f>SUM(C7:C9)</f>
        <v>56</v>
      </c>
      <c r="D10" s="3">
        <f t="shared" ref="D10:K12" si="1">+D7/$C$10*$M$3</f>
        <v>10399734.482142858</v>
      </c>
      <c r="E10" s="3">
        <f t="shared" si="1"/>
        <v>0</v>
      </c>
      <c r="F10" s="3">
        <f t="shared" si="1"/>
        <v>0</v>
      </c>
      <c r="G10" s="3">
        <f t="shared" si="1"/>
        <v>0</v>
      </c>
      <c r="H10" s="3">
        <f t="shared" si="1"/>
        <v>0</v>
      </c>
      <c r="I10" s="3">
        <f t="shared" si="1"/>
        <v>0</v>
      </c>
      <c r="J10" s="3">
        <f t="shared" si="1"/>
        <v>0</v>
      </c>
      <c r="K10" s="4">
        <f t="shared" si="1"/>
        <v>0</v>
      </c>
      <c r="M10" s="1"/>
    </row>
    <row r="11" spans="2:13" x14ac:dyDescent="0.3">
      <c r="B11" s="1"/>
      <c r="C11" s="3"/>
      <c r="D11" s="3">
        <f t="shared" si="1"/>
        <v>1847321.2566964286</v>
      </c>
      <c r="E11" s="3">
        <f t="shared" si="1"/>
        <v>273677.22321428568</v>
      </c>
      <c r="F11" s="3">
        <f t="shared" si="1"/>
        <v>273677.22321428568</v>
      </c>
      <c r="G11" s="3">
        <f t="shared" si="1"/>
        <v>0</v>
      </c>
      <c r="H11" s="3">
        <f t="shared" si="1"/>
        <v>273677.22321428568</v>
      </c>
      <c r="I11" s="3">
        <f t="shared" si="1"/>
        <v>0</v>
      </c>
      <c r="J11" s="3">
        <f t="shared" si="1"/>
        <v>0</v>
      </c>
      <c r="K11" s="4">
        <f t="shared" si="1"/>
        <v>547354.44642857136</v>
      </c>
      <c r="M11" s="1"/>
    </row>
    <row r="12" spans="2:13" x14ac:dyDescent="0.3">
      <c r="B12" s="1"/>
      <c r="C12" s="1"/>
      <c r="D12" s="3">
        <f t="shared" si="1"/>
        <v>821031.66964285704</v>
      </c>
      <c r="E12" s="3">
        <f t="shared" si="1"/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273677.22321428568</v>
      </c>
      <c r="K12" s="4">
        <f t="shared" si="1"/>
        <v>615773.75223214296</v>
      </c>
      <c r="M12" s="1"/>
    </row>
    <row r="13" spans="2:13" ht="27" x14ac:dyDescent="0.3">
      <c r="B13" s="71" t="s">
        <v>86</v>
      </c>
      <c r="C13" s="4">
        <f>SUM(D13:K13)</f>
        <v>15325924.5</v>
      </c>
      <c r="D13" s="4">
        <f>SUM(D10:D12)</f>
        <v>13068087.408482144</v>
      </c>
      <c r="E13" s="4">
        <f t="shared" ref="E13:K13" si="2">SUM(E10:E12)</f>
        <v>273677.22321428568</v>
      </c>
      <c r="F13" s="4">
        <f t="shared" si="2"/>
        <v>273677.22321428568</v>
      </c>
      <c r="G13" s="4">
        <f t="shared" si="2"/>
        <v>0</v>
      </c>
      <c r="H13" s="4">
        <f t="shared" si="2"/>
        <v>273677.22321428568</v>
      </c>
      <c r="I13" s="4">
        <f t="shared" si="2"/>
        <v>0</v>
      </c>
      <c r="J13" s="4">
        <f t="shared" si="2"/>
        <v>273677.22321428568</v>
      </c>
      <c r="K13" s="4">
        <f t="shared" si="2"/>
        <v>1163128.1986607143</v>
      </c>
      <c r="M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8A47-17A1-4384-A26D-FFED785A3259}">
  <dimension ref="A1:X48"/>
  <sheetViews>
    <sheetView workbookViewId="0">
      <selection activeCell="K36" sqref="K36"/>
    </sheetView>
  </sheetViews>
  <sheetFormatPr defaultColWidth="9.109375" defaultRowHeight="13.2" x14ac:dyDescent="0.25"/>
  <cols>
    <col min="1" max="1" width="4.88671875" style="1" customWidth="1"/>
    <col min="2" max="2" width="31.109375" style="1" customWidth="1"/>
    <col min="3" max="3" width="12.33203125" style="1" customWidth="1"/>
    <col min="4" max="12" width="11.44140625" style="1" customWidth="1"/>
    <col min="13" max="13" width="11" style="1" customWidth="1"/>
    <col min="14" max="16" width="9.109375" style="1"/>
    <col min="17" max="17" width="14.6640625" style="1" bestFit="1" customWidth="1"/>
    <col min="18" max="18" width="9.88671875" style="1" bestFit="1" customWidth="1"/>
    <col min="19" max="23" width="9.109375" style="1"/>
    <col min="24" max="24" width="9.88671875" style="1" bestFit="1" customWidth="1"/>
    <col min="25" max="16384" width="9.109375" style="1"/>
  </cols>
  <sheetData>
    <row r="1" spans="2:24" x14ac:dyDescent="0.25">
      <c r="B1" s="1" t="s">
        <v>52</v>
      </c>
      <c r="D1" s="43">
        <f>+D9/7000</f>
        <v>2.1788571428571428</v>
      </c>
      <c r="E1" s="43">
        <f t="shared" ref="E1:L1" si="0">+E9/7000</f>
        <v>0.30842857142857144</v>
      </c>
      <c r="F1" s="43">
        <f t="shared" si="0"/>
        <v>0.25257142857142856</v>
      </c>
      <c r="G1" s="43">
        <f t="shared" si="0"/>
        <v>0.15014285714285713</v>
      </c>
      <c r="H1" s="43">
        <f t="shared" si="0"/>
        <v>0.623</v>
      </c>
      <c r="I1" s="43">
        <f t="shared" si="0"/>
        <v>0.26571428571428574</v>
      </c>
      <c r="J1" s="43">
        <f t="shared" si="0"/>
        <v>0.19957142857142857</v>
      </c>
      <c r="K1" s="43">
        <f t="shared" si="0"/>
        <v>1.2358571428571428</v>
      </c>
      <c r="L1" s="43">
        <f t="shared" si="0"/>
        <v>8.9324285714285718</v>
      </c>
      <c r="M1" s="43">
        <f>SUM(D1:L1)</f>
        <v>14.146571428571429</v>
      </c>
    </row>
    <row r="2" spans="2:24" x14ac:dyDescent="0.25">
      <c r="B2" s="1" t="s">
        <v>49</v>
      </c>
      <c r="D2" s="43">
        <f>+D6/4000</f>
        <v>3.8130000000000002</v>
      </c>
      <c r="E2" s="43">
        <f t="shared" ref="E2:K2" si="1">+E6/4000</f>
        <v>1.1517500000000001</v>
      </c>
      <c r="F2" s="43">
        <f t="shared" si="1"/>
        <v>0.90700000000000003</v>
      </c>
      <c r="G2" s="43"/>
      <c r="H2" s="43">
        <f t="shared" si="1"/>
        <v>1.0902499999999999</v>
      </c>
      <c r="I2" s="43"/>
      <c r="J2" s="43"/>
      <c r="K2" s="43">
        <f t="shared" si="1"/>
        <v>2.16275</v>
      </c>
      <c r="L2" s="43"/>
      <c r="M2" s="43">
        <f>SUM(D2:K2)</f>
        <v>9.1247500000000006</v>
      </c>
    </row>
    <row r="3" spans="2:24" x14ac:dyDescent="0.25">
      <c r="B3" s="1" t="s">
        <v>80</v>
      </c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24" x14ac:dyDescent="0.25">
      <c r="B4" s="1" t="s">
        <v>81</v>
      </c>
    </row>
    <row r="5" spans="2:24" x14ac:dyDescent="0.25">
      <c r="E5" s="24"/>
      <c r="F5" s="25"/>
      <c r="H5" s="46"/>
      <c r="K5" s="27"/>
      <c r="L5" s="27"/>
    </row>
    <row r="6" spans="2:24" x14ac:dyDescent="0.25">
      <c r="D6" s="3">
        <f>+D9</f>
        <v>15252</v>
      </c>
      <c r="E6" s="48">
        <f>+E9+G9+J9</f>
        <v>4607</v>
      </c>
      <c r="F6" s="49">
        <f>+F9+I9</f>
        <v>3628</v>
      </c>
      <c r="G6" s="3"/>
      <c r="H6" s="50">
        <f>+H9</f>
        <v>4361</v>
      </c>
      <c r="I6" s="3"/>
      <c r="J6" s="3"/>
      <c r="K6" s="3">
        <f>+K9</f>
        <v>8651</v>
      </c>
      <c r="L6" s="3">
        <f>+L9</f>
        <v>62527</v>
      </c>
    </row>
    <row r="7" spans="2:24" x14ac:dyDescent="0.25">
      <c r="B7" s="14" t="s">
        <v>36</v>
      </c>
    </row>
    <row r="8" spans="2:24" x14ac:dyDescent="0.25">
      <c r="B8" s="5" t="s">
        <v>11</v>
      </c>
      <c r="C8" s="5" t="s">
        <v>21</v>
      </c>
      <c r="D8" s="28" t="s">
        <v>13</v>
      </c>
      <c r="E8" s="21" t="s">
        <v>14</v>
      </c>
      <c r="F8" s="22" t="s">
        <v>15</v>
      </c>
      <c r="G8" s="21" t="s">
        <v>16</v>
      </c>
      <c r="H8" s="26" t="s">
        <v>17</v>
      </c>
      <c r="I8" s="22" t="s">
        <v>18</v>
      </c>
      <c r="J8" s="21" t="s">
        <v>19</v>
      </c>
      <c r="K8" s="33" t="s">
        <v>20</v>
      </c>
      <c r="L8" s="44" t="s">
        <v>79</v>
      </c>
      <c r="M8" s="5" t="s">
        <v>21</v>
      </c>
    </row>
    <row r="9" spans="2:24" x14ac:dyDescent="0.25">
      <c r="B9" s="5" t="s">
        <v>12</v>
      </c>
      <c r="C9" s="6">
        <f>SUM(D9:K9)</f>
        <v>36499</v>
      </c>
      <c r="D9" s="31">
        <v>15252</v>
      </c>
      <c r="E9" s="7">
        <v>2159</v>
      </c>
      <c r="F9" s="30">
        <v>1768</v>
      </c>
      <c r="G9" s="7">
        <v>1051</v>
      </c>
      <c r="H9" s="29">
        <v>4361</v>
      </c>
      <c r="I9" s="30">
        <v>1860</v>
      </c>
      <c r="J9" s="7">
        <v>1397</v>
      </c>
      <c r="K9" s="32">
        <v>8651</v>
      </c>
      <c r="L9" s="45">
        <f>SUM(S20:S25)</f>
        <v>62527</v>
      </c>
      <c r="M9" s="6">
        <f>SUM(D9:K9)</f>
        <v>36499</v>
      </c>
      <c r="N9" s="3"/>
    </row>
    <row r="10" spans="2:24" x14ac:dyDescent="0.25">
      <c r="B10" s="10" t="s">
        <v>28</v>
      </c>
      <c r="C10" s="7">
        <f>51.753+4.5</f>
        <v>56.253</v>
      </c>
      <c r="D10" s="6">
        <f t="shared" ref="D10:K10" si="2">SUM(D11:D16)</f>
        <v>9.75</v>
      </c>
      <c r="E10" s="6">
        <f t="shared" si="2"/>
        <v>1</v>
      </c>
      <c r="F10" s="6">
        <f t="shared" si="2"/>
        <v>1</v>
      </c>
      <c r="G10" s="6">
        <f t="shared" si="2"/>
        <v>0</v>
      </c>
      <c r="H10" s="6">
        <f t="shared" si="2"/>
        <v>1</v>
      </c>
      <c r="I10" s="6">
        <f t="shared" si="2"/>
        <v>0</v>
      </c>
      <c r="J10" s="6">
        <f t="shared" si="2"/>
        <v>1</v>
      </c>
      <c r="K10" s="6">
        <f t="shared" si="2"/>
        <v>4.5</v>
      </c>
      <c r="L10" s="6"/>
      <c r="M10" s="6">
        <f>SUM(D10:K10)</f>
        <v>18.25</v>
      </c>
      <c r="N10" s="3">
        <f>SUM(M11:M16)</f>
        <v>18.25</v>
      </c>
      <c r="Q10" s="5"/>
      <c r="R10" s="5"/>
      <c r="S10" s="5"/>
      <c r="T10" s="38" t="s">
        <v>53</v>
      </c>
      <c r="U10" s="38"/>
      <c r="V10" s="38"/>
      <c r="W10" s="38"/>
    </row>
    <row r="11" spans="2:24" x14ac:dyDescent="0.25">
      <c r="B11" s="8" t="s">
        <v>30</v>
      </c>
      <c r="C11" s="9">
        <v>15.5</v>
      </c>
      <c r="D11" s="9"/>
      <c r="E11" s="9"/>
      <c r="F11" s="9"/>
      <c r="G11" s="9"/>
      <c r="H11" s="9"/>
      <c r="I11" s="9"/>
      <c r="J11" s="9"/>
      <c r="K11" s="9"/>
      <c r="L11" s="9"/>
      <c r="M11" s="6">
        <f t="shared" ref="M11:M16" si="3">SUM(D11:K11)</f>
        <v>0</v>
      </c>
      <c r="N11" s="3"/>
      <c r="Q11" s="5"/>
      <c r="R11" s="39">
        <f>20000000-R24</f>
        <v>18000000</v>
      </c>
      <c r="S11" s="5"/>
      <c r="T11" s="38" t="s">
        <v>52</v>
      </c>
      <c r="U11" s="38" t="s">
        <v>49</v>
      </c>
      <c r="V11" s="38" t="s">
        <v>50</v>
      </c>
      <c r="W11" s="38" t="s">
        <v>51</v>
      </c>
    </row>
    <row r="12" spans="2:24" x14ac:dyDescent="0.25">
      <c r="B12" s="8" t="s">
        <v>40</v>
      </c>
      <c r="C12" s="9">
        <v>15</v>
      </c>
      <c r="D12" s="9"/>
      <c r="E12" s="9"/>
      <c r="F12" s="9"/>
      <c r="G12" s="9"/>
      <c r="H12" s="9"/>
      <c r="I12" s="9"/>
      <c r="J12" s="9"/>
      <c r="K12" s="9"/>
      <c r="L12" s="9"/>
      <c r="M12" s="6"/>
      <c r="N12" s="3"/>
      <c r="Q12" s="28" t="s">
        <v>13</v>
      </c>
      <c r="R12" s="40">
        <f>+S12/$S$27*$R$11</f>
        <v>4186084.8085631947</v>
      </c>
      <c r="S12" s="40">
        <v>15252</v>
      </c>
      <c r="T12" s="40">
        <v>1</v>
      </c>
      <c r="U12" s="40">
        <v>1</v>
      </c>
      <c r="V12" s="40">
        <v>1</v>
      </c>
      <c r="W12" s="40">
        <v>1</v>
      </c>
      <c r="X12" s="34"/>
    </row>
    <row r="13" spans="2:24" x14ac:dyDescent="0.25">
      <c r="B13" s="51" t="s">
        <v>31</v>
      </c>
      <c r="C13" s="52">
        <f>9.75+2</f>
        <v>11.75</v>
      </c>
      <c r="D13" s="52">
        <v>6.75</v>
      </c>
      <c r="E13" s="52">
        <v>1</v>
      </c>
      <c r="F13" s="52">
        <v>1</v>
      </c>
      <c r="G13" s="52"/>
      <c r="H13" s="52">
        <v>1</v>
      </c>
      <c r="I13" s="52"/>
      <c r="J13" s="52"/>
      <c r="K13" s="52">
        <v>2</v>
      </c>
      <c r="L13" s="52"/>
      <c r="M13" s="7">
        <f t="shared" si="3"/>
        <v>11.75</v>
      </c>
      <c r="N13" s="3"/>
      <c r="Q13" s="21" t="s">
        <v>14</v>
      </c>
      <c r="R13" s="40">
        <f>+S13/$S$27*$R$11</f>
        <v>592562.09688486345</v>
      </c>
      <c r="S13" s="40">
        <v>2159</v>
      </c>
      <c r="T13" s="40">
        <v>1</v>
      </c>
      <c r="U13" s="40">
        <v>1</v>
      </c>
      <c r="V13" s="40">
        <v>1</v>
      </c>
      <c r="W13" s="40">
        <v>1</v>
      </c>
      <c r="X13" s="34"/>
    </row>
    <row r="14" spans="2:24" x14ac:dyDescent="0.25">
      <c r="B14" s="53" t="s">
        <v>29</v>
      </c>
      <c r="C14" s="54">
        <f>4+2.5</f>
        <v>6.5</v>
      </c>
      <c r="D14" s="54">
        <v>3</v>
      </c>
      <c r="E14" s="54"/>
      <c r="F14" s="54"/>
      <c r="G14" s="54"/>
      <c r="H14" s="54"/>
      <c r="I14" s="54"/>
      <c r="J14" s="54">
        <v>1</v>
      </c>
      <c r="K14" s="54">
        <v>2.5</v>
      </c>
      <c r="L14" s="54"/>
      <c r="M14" s="55">
        <f t="shared" si="3"/>
        <v>6.5</v>
      </c>
      <c r="N14" s="3"/>
      <c r="Q14" s="22" t="s">
        <v>15</v>
      </c>
      <c r="R14" s="41">
        <v>0</v>
      </c>
      <c r="S14" s="41">
        <v>1768</v>
      </c>
      <c r="T14" s="40"/>
      <c r="U14" s="40">
        <v>1</v>
      </c>
      <c r="V14" s="40"/>
      <c r="W14" s="40">
        <v>1</v>
      </c>
      <c r="X14" s="34"/>
    </row>
    <row r="15" spans="2:24" x14ac:dyDescent="0.25">
      <c r="B15" s="8" t="s">
        <v>32</v>
      </c>
      <c r="C15" s="9">
        <v>3.5</v>
      </c>
      <c r="D15" s="9"/>
      <c r="E15" s="9"/>
      <c r="F15" s="9"/>
      <c r="G15" s="9"/>
      <c r="H15" s="9"/>
      <c r="I15" s="9"/>
      <c r="J15" s="9"/>
      <c r="K15" s="9"/>
      <c r="L15" s="9"/>
      <c r="M15" s="6">
        <f t="shared" si="3"/>
        <v>0</v>
      </c>
      <c r="N15" s="3"/>
      <c r="Q15" s="21" t="s">
        <v>16</v>
      </c>
      <c r="R15" s="40">
        <f>+S15/$S$27*$R$11</f>
        <v>288458.8994099081</v>
      </c>
      <c r="S15" s="40">
        <v>1051</v>
      </c>
      <c r="T15" s="40">
        <v>1</v>
      </c>
      <c r="U15" s="40">
        <v>1</v>
      </c>
      <c r="V15" s="40"/>
      <c r="W15" s="40">
        <v>1</v>
      </c>
      <c r="X15" s="34"/>
    </row>
    <row r="16" spans="2:24" x14ac:dyDescent="0.25">
      <c r="B16" s="8" t="s">
        <v>34</v>
      </c>
      <c r="C16" s="9">
        <v>1</v>
      </c>
      <c r="D16" s="9"/>
      <c r="E16" s="9"/>
      <c r="F16" s="9"/>
      <c r="G16" s="9"/>
      <c r="H16" s="9"/>
      <c r="I16" s="9"/>
      <c r="J16" s="9"/>
      <c r="K16" s="9"/>
      <c r="L16" s="9"/>
      <c r="M16" s="6">
        <f t="shared" si="3"/>
        <v>0</v>
      </c>
      <c r="N16" s="3"/>
      <c r="Q16" s="26" t="s">
        <v>17</v>
      </c>
      <c r="R16" s="40">
        <f>+S16/$S$27*$R$11</f>
        <v>1196926.0326609029</v>
      </c>
      <c r="S16" s="40">
        <v>4361</v>
      </c>
      <c r="T16" s="40">
        <v>1</v>
      </c>
      <c r="U16" s="40">
        <v>1</v>
      </c>
      <c r="V16" s="40"/>
      <c r="W16" s="40">
        <v>1</v>
      </c>
      <c r="X16" s="34"/>
    </row>
    <row r="17" spans="1:24" x14ac:dyDescent="0.25">
      <c r="B17" s="8" t="s">
        <v>83</v>
      </c>
      <c r="C17" s="9">
        <v>3</v>
      </c>
      <c r="D17" s="9"/>
      <c r="E17" s="9"/>
      <c r="F17" s="9"/>
      <c r="G17" s="9"/>
      <c r="H17" s="9"/>
      <c r="I17" s="9"/>
      <c r="J17" s="9"/>
      <c r="K17" s="9"/>
      <c r="L17" s="9"/>
      <c r="M17" s="6"/>
      <c r="N17" s="3"/>
      <c r="Q17" s="22" t="s">
        <v>18</v>
      </c>
      <c r="R17" s="41">
        <v>0</v>
      </c>
      <c r="S17" s="41">
        <v>1860</v>
      </c>
      <c r="T17" s="40"/>
      <c r="U17" s="40">
        <v>1</v>
      </c>
      <c r="V17" s="40">
        <v>1</v>
      </c>
      <c r="W17" s="40">
        <v>1</v>
      </c>
      <c r="X17" s="34"/>
    </row>
    <row r="18" spans="1:24" x14ac:dyDescent="0.25">
      <c r="B18" s="8" t="s">
        <v>37</v>
      </c>
      <c r="C18" s="9"/>
      <c r="D18" s="9">
        <v>3</v>
      </c>
      <c r="E18" s="9"/>
      <c r="F18" s="9"/>
      <c r="G18" s="9"/>
      <c r="H18" s="9"/>
      <c r="I18" s="9"/>
      <c r="J18" s="9"/>
      <c r="K18" s="9"/>
      <c r="L18" s="9"/>
      <c r="M18" s="6"/>
      <c r="N18" s="3"/>
      <c r="Q18" s="21" t="s">
        <v>19</v>
      </c>
      <c r="R18" s="40">
        <f t="shared" ref="R18:R23" si="4">+S18/$S$27*$R$11</f>
        <v>383422.53327844106</v>
      </c>
      <c r="S18" s="40">
        <v>1397</v>
      </c>
      <c r="T18" s="40">
        <v>1</v>
      </c>
      <c r="U18" s="40">
        <v>1</v>
      </c>
      <c r="V18" s="40">
        <v>1</v>
      </c>
      <c r="W18" s="40">
        <v>1</v>
      </c>
      <c r="X18" s="34"/>
    </row>
    <row r="19" spans="1:24" ht="13.8" thickBot="1" x14ac:dyDescent="0.3">
      <c r="B19" s="18" t="s">
        <v>38</v>
      </c>
      <c r="C19" s="19"/>
      <c r="D19" s="19">
        <v>1</v>
      </c>
      <c r="E19" s="19"/>
      <c r="F19" s="19"/>
      <c r="G19" s="19"/>
      <c r="H19" s="19"/>
      <c r="I19" s="19"/>
      <c r="J19" s="19"/>
      <c r="K19" s="19"/>
      <c r="L19" s="19"/>
      <c r="M19" s="20"/>
      <c r="N19" s="3"/>
      <c r="Q19" s="33" t="s">
        <v>20</v>
      </c>
      <c r="R19" s="40">
        <f t="shared" si="4"/>
        <v>2374365.308082887</v>
      </c>
      <c r="S19" s="40">
        <v>8651</v>
      </c>
      <c r="T19" s="40">
        <v>1</v>
      </c>
      <c r="U19" s="40">
        <v>1</v>
      </c>
      <c r="V19" s="40">
        <v>1</v>
      </c>
      <c r="W19" s="40">
        <v>1</v>
      </c>
      <c r="X19" s="34"/>
    </row>
    <row r="20" spans="1:24" x14ac:dyDescent="0.25">
      <c r="B20" s="15" t="s">
        <v>39</v>
      </c>
      <c r="C20" s="16"/>
      <c r="D20" s="16">
        <f>SUM(D21:D25)</f>
        <v>106</v>
      </c>
      <c r="E20" s="16">
        <f t="shared" ref="E20:K20" si="5">SUM(E21:E25)</f>
        <v>6</v>
      </c>
      <c r="F20" s="16">
        <f t="shared" si="5"/>
        <v>0</v>
      </c>
      <c r="G20" s="16">
        <f t="shared" si="5"/>
        <v>0</v>
      </c>
      <c r="H20" s="16">
        <f t="shared" si="5"/>
        <v>5</v>
      </c>
      <c r="I20" s="16">
        <f t="shared" si="5"/>
        <v>0</v>
      </c>
      <c r="J20" s="16">
        <f t="shared" si="5"/>
        <v>8</v>
      </c>
      <c r="K20" s="16">
        <f t="shared" si="5"/>
        <v>0</v>
      </c>
      <c r="L20" s="16"/>
      <c r="M20" s="17">
        <f>SUM(D20:K20)</f>
        <v>125</v>
      </c>
      <c r="N20" s="3"/>
      <c r="Q20" s="5" t="s">
        <v>45</v>
      </c>
      <c r="R20" s="40">
        <f t="shared" si="4"/>
        <v>3862220.3924797587</v>
      </c>
      <c r="S20" s="40">
        <v>14072</v>
      </c>
      <c r="T20" s="40">
        <v>1</v>
      </c>
      <c r="U20" s="40"/>
      <c r="V20" s="40">
        <v>1</v>
      </c>
      <c r="W20" s="40">
        <v>1</v>
      </c>
      <c r="X20" s="34"/>
    </row>
    <row r="21" spans="1:24" x14ac:dyDescent="0.25">
      <c r="B21" s="8" t="s">
        <v>30</v>
      </c>
      <c r="C21" s="9"/>
      <c r="D21" s="9"/>
      <c r="E21" s="9"/>
      <c r="F21" s="9"/>
      <c r="G21" s="9"/>
      <c r="H21" s="9"/>
      <c r="I21" s="9"/>
      <c r="J21" s="9"/>
      <c r="K21" s="9"/>
      <c r="L21" s="16"/>
      <c r="M21" s="17">
        <f t="shared" ref="M21:M27" si="6">SUM(D21:K21)</f>
        <v>0</v>
      </c>
      <c r="N21" s="3"/>
      <c r="Q21" s="5" t="s">
        <v>46</v>
      </c>
      <c r="R21" s="40">
        <f t="shared" si="4"/>
        <v>732262.93399204058</v>
      </c>
      <c r="S21" s="40">
        <v>2668</v>
      </c>
      <c r="T21" s="40">
        <v>1</v>
      </c>
      <c r="U21" s="40"/>
      <c r="V21" s="40">
        <v>1</v>
      </c>
      <c r="W21" s="40">
        <v>1</v>
      </c>
      <c r="X21" s="34"/>
    </row>
    <row r="22" spans="1:24" x14ac:dyDescent="0.25">
      <c r="B22" s="8" t="s">
        <v>31</v>
      </c>
      <c r="C22" s="9"/>
      <c r="D22" s="9"/>
      <c r="E22" s="9"/>
      <c r="F22" s="9"/>
      <c r="G22" s="9"/>
      <c r="H22" s="9"/>
      <c r="I22" s="9"/>
      <c r="J22" s="9"/>
      <c r="K22" s="9"/>
      <c r="L22" s="16"/>
      <c r="M22" s="17">
        <f t="shared" si="6"/>
        <v>0</v>
      </c>
      <c r="N22" s="3"/>
      <c r="Q22" s="5" t="s">
        <v>47</v>
      </c>
      <c r="R22" s="40">
        <f t="shared" si="4"/>
        <v>2217922.3274324141</v>
      </c>
      <c r="S22" s="40">
        <v>8081</v>
      </c>
      <c r="T22" s="40">
        <v>1</v>
      </c>
      <c r="U22" s="40"/>
      <c r="V22" s="40"/>
      <c r="W22" s="40">
        <v>1</v>
      </c>
      <c r="X22" s="34"/>
    </row>
    <row r="23" spans="1:24" x14ac:dyDescent="0.25">
      <c r="B23" s="8" t="s">
        <v>29</v>
      </c>
      <c r="C23" s="9">
        <v>20</v>
      </c>
      <c r="D23" s="9">
        <v>20</v>
      </c>
      <c r="E23" s="9"/>
      <c r="F23" s="9"/>
      <c r="G23" s="9"/>
      <c r="H23" s="9"/>
      <c r="I23" s="9"/>
      <c r="J23" s="9"/>
      <c r="K23" s="9"/>
      <c r="L23" s="16"/>
      <c r="M23" s="17">
        <f t="shared" si="6"/>
        <v>20</v>
      </c>
      <c r="N23" s="3"/>
      <c r="Q23" s="5" t="s">
        <v>48</v>
      </c>
      <c r="R23" s="40">
        <f t="shared" si="4"/>
        <v>588170.71497186774</v>
      </c>
      <c r="S23" s="40">
        <v>2143</v>
      </c>
      <c r="T23" s="40">
        <v>1</v>
      </c>
      <c r="U23" s="40"/>
      <c r="V23" s="40">
        <v>1</v>
      </c>
      <c r="W23" s="40">
        <v>1</v>
      </c>
      <c r="X23" s="34"/>
    </row>
    <row r="24" spans="1:24" x14ac:dyDescent="0.25">
      <c r="B24" s="8" t="s">
        <v>32</v>
      </c>
      <c r="C24" s="9">
        <v>40</v>
      </c>
      <c r="D24" s="9">
        <v>39</v>
      </c>
      <c r="E24" s="9">
        <v>1</v>
      </c>
      <c r="F24" s="9"/>
      <c r="G24" s="9"/>
      <c r="H24" s="9"/>
      <c r="I24" s="9"/>
      <c r="J24" s="9"/>
      <c r="K24" s="9"/>
      <c r="L24" s="16"/>
      <c r="M24" s="17">
        <f t="shared" si="6"/>
        <v>40</v>
      </c>
      <c r="N24" s="3"/>
      <c r="Q24" s="22" t="s">
        <v>54</v>
      </c>
      <c r="R24" s="41">
        <v>2000000</v>
      </c>
      <c r="S24" s="41">
        <v>29815</v>
      </c>
      <c r="T24" s="40">
        <v>1</v>
      </c>
      <c r="U24" s="40"/>
      <c r="V24" s="40"/>
      <c r="W24" s="40"/>
      <c r="X24" s="34"/>
    </row>
    <row r="25" spans="1:24" x14ac:dyDescent="0.25">
      <c r="B25" s="8" t="s">
        <v>34</v>
      </c>
      <c r="C25" s="9">
        <v>65</v>
      </c>
      <c r="D25" s="9">
        <v>47</v>
      </c>
      <c r="E25" s="9">
        <v>5</v>
      </c>
      <c r="F25" s="9"/>
      <c r="G25" s="9"/>
      <c r="H25" s="9">
        <v>5</v>
      </c>
      <c r="I25" s="9"/>
      <c r="J25" s="9">
        <v>8</v>
      </c>
      <c r="K25" s="9"/>
      <c r="L25" s="16"/>
      <c r="M25" s="17">
        <f t="shared" si="6"/>
        <v>65</v>
      </c>
      <c r="N25" s="3"/>
      <c r="Q25" s="5" t="s">
        <v>55</v>
      </c>
      <c r="R25" s="40">
        <f>+S25/$S$27*$R$11</f>
        <v>1577603.9522437218</v>
      </c>
      <c r="S25" s="40">
        <v>5748</v>
      </c>
      <c r="T25" s="40">
        <v>1</v>
      </c>
      <c r="U25" s="40"/>
      <c r="V25" s="40"/>
      <c r="W25" s="40"/>
      <c r="X25" s="34"/>
    </row>
    <row r="26" spans="1:24" x14ac:dyDescent="0.25">
      <c r="B26" s="8" t="s">
        <v>37</v>
      </c>
      <c r="C26" s="9">
        <v>18</v>
      </c>
      <c r="D26" s="9">
        <v>18</v>
      </c>
      <c r="E26" s="9"/>
      <c r="F26" s="9"/>
      <c r="G26" s="9"/>
      <c r="H26" s="9"/>
      <c r="I26" s="9"/>
      <c r="J26" s="9"/>
      <c r="K26" s="9"/>
      <c r="L26" s="16"/>
      <c r="M26" s="17">
        <f t="shared" si="6"/>
        <v>18</v>
      </c>
      <c r="N26" s="3">
        <f>90000*12*1.155</f>
        <v>1247400</v>
      </c>
      <c r="Q26" s="5"/>
      <c r="R26" s="39">
        <f>SUM(R12:R25)</f>
        <v>20000000</v>
      </c>
      <c r="S26" s="39">
        <f>SUM(S12:S25)</f>
        <v>99026</v>
      </c>
      <c r="T26" s="39">
        <f t="shared" ref="T26:W26" si="7">SUM(T12:T25)</f>
        <v>12</v>
      </c>
      <c r="U26" s="39">
        <f t="shared" si="7"/>
        <v>8</v>
      </c>
      <c r="V26" s="39">
        <f t="shared" si="7"/>
        <v>8</v>
      </c>
      <c r="W26" s="39">
        <f t="shared" si="7"/>
        <v>12</v>
      </c>
      <c r="X26" s="35"/>
    </row>
    <row r="27" spans="1:24" x14ac:dyDescent="0.25">
      <c r="B27" s="8" t="s">
        <v>38</v>
      </c>
      <c r="C27" s="9"/>
      <c r="D27" s="9"/>
      <c r="E27" s="9"/>
      <c r="F27" s="9"/>
      <c r="G27" s="9"/>
      <c r="H27" s="9"/>
      <c r="I27" s="9"/>
      <c r="J27" s="9"/>
      <c r="K27" s="9"/>
      <c r="L27" s="16"/>
      <c r="M27" s="17">
        <f t="shared" si="6"/>
        <v>0</v>
      </c>
      <c r="N27" s="3">
        <f>195000*12*1.155</f>
        <v>2702700</v>
      </c>
      <c r="Q27" s="5"/>
      <c r="R27" s="40"/>
      <c r="S27" s="42">
        <f>+S26-S24-S14-S17</f>
        <v>65583</v>
      </c>
      <c r="T27" s="40"/>
      <c r="U27" s="40"/>
      <c r="V27" s="40"/>
      <c r="W27" s="40"/>
      <c r="X27" s="34"/>
    </row>
    <row r="28" spans="1:24" s="2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4" ht="26.4" x14ac:dyDescent="0.25">
      <c r="A29" s="2"/>
      <c r="B29" s="11" t="s">
        <v>35</v>
      </c>
      <c r="C29" s="11"/>
      <c r="D29" s="11" t="s">
        <v>22</v>
      </c>
      <c r="E29" s="11" t="s">
        <v>23</v>
      </c>
      <c r="F29" s="11" t="s">
        <v>25</v>
      </c>
      <c r="G29" s="11" t="s">
        <v>27</v>
      </c>
      <c r="H29" s="11" t="s">
        <v>24</v>
      </c>
      <c r="I29" s="11" t="s">
        <v>26</v>
      </c>
      <c r="J29" s="11"/>
      <c r="K29" s="2"/>
      <c r="L29" s="2"/>
      <c r="M29" s="2"/>
      <c r="N29" s="2"/>
      <c r="O29" s="2"/>
    </row>
    <row r="30" spans="1:24" x14ac:dyDescent="0.25">
      <c r="B30" s="5" t="s">
        <v>0</v>
      </c>
      <c r="C30" s="5" t="s">
        <v>1</v>
      </c>
      <c r="D30" s="12">
        <v>392000</v>
      </c>
      <c r="E30" s="12">
        <f>+D30*12</f>
        <v>4704000</v>
      </c>
      <c r="F30" s="12">
        <v>30000</v>
      </c>
      <c r="G30" s="12">
        <v>134100</v>
      </c>
      <c r="H30" s="12">
        <f>(SUM(D30:G30)*0.155)+(G30*0.15)</f>
        <v>835430.5</v>
      </c>
      <c r="I30" s="12">
        <f>15300*12</f>
        <v>183600</v>
      </c>
      <c r="J30" s="13">
        <f t="shared" ref="J30:J37" si="8">SUM(D30:I30)</f>
        <v>6279130.5</v>
      </c>
    </row>
    <row r="31" spans="1:24" x14ac:dyDescent="0.25">
      <c r="B31" s="5" t="s">
        <v>2</v>
      </c>
      <c r="C31" s="5" t="s">
        <v>3</v>
      </c>
      <c r="D31" s="12">
        <v>373000</v>
      </c>
      <c r="E31" s="12">
        <f t="shared" ref="E31:E37" si="9">+D31*12</f>
        <v>4476000</v>
      </c>
      <c r="F31" s="12">
        <v>30000</v>
      </c>
      <c r="G31" s="12">
        <v>134100</v>
      </c>
      <c r="H31" s="12">
        <f t="shared" ref="H31:H37" si="10">(SUM(D31:G31)*0.155)+(G31*0.15)</f>
        <v>797145.5</v>
      </c>
      <c r="I31" s="12">
        <f>10500*12</f>
        <v>126000</v>
      </c>
      <c r="K31" s="13">
        <f>SUM(D31:I31)</f>
        <v>5936245.5</v>
      </c>
      <c r="P31" s="1" t="s">
        <v>49</v>
      </c>
      <c r="Q31" s="1" t="s">
        <v>67</v>
      </c>
      <c r="R31" s="1" t="s">
        <v>44</v>
      </c>
      <c r="S31" s="1" t="s">
        <v>64</v>
      </c>
      <c r="X31" s="1">
        <f>+D9/4000</f>
        <v>3.8130000000000002</v>
      </c>
    </row>
    <row r="32" spans="1:24" x14ac:dyDescent="0.25">
      <c r="B32" s="5" t="s">
        <v>4</v>
      </c>
      <c r="C32" s="5" t="s">
        <v>33</v>
      </c>
      <c r="D32" s="12">
        <v>280600</v>
      </c>
      <c r="E32" s="12">
        <f t="shared" si="9"/>
        <v>3367200</v>
      </c>
      <c r="F32" s="12">
        <v>30000</v>
      </c>
      <c r="G32" s="12">
        <v>134100</v>
      </c>
      <c r="H32" s="12">
        <f t="shared" si="10"/>
        <v>610959.5</v>
      </c>
      <c r="I32" s="12">
        <f>10500*12</f>
        <v>126000</v>
      </c>
      <c r="J32" s="13">
        <f t="shared" si="8"/>
        <v>4548859.5</v>
      </c>
      <c r="Q32" s="1" t="s">
        <v>66</v>
      </c>
      <c r="R32" s="37" t="s">
        <v>58</v>
      </c>
      <c r="S32" s="1" t="s">
        <v>63</v>
      </c>
    </row>
    <row r="33" spans="2:19" ht="12.75" customHeight="1" x14ac:dyDescent="0.25">
      <c r="B33" s="5" t="s">
        <v>5</v>
      </c>
      <c r="C33" s="5" t="s">
        <v>6</v>
      </c>
      <c r="D33" s="12">
        <v>285600</v>
      </c>
      <c r="E33" s="12">
        <f t="shared" si="9"/>
        <v>3427200</v>
      </c>
      <c r="F33" s="12">
        <v>30000</v>
      </c>
      <c r="G33" s="12">
        <v>134100</v>
      </c>
      <c r="H33" s="12">
        <f t="shared" si="10"/>
        <v>621034.5</v>
      </c>
      <c r="I33" s="12"/>
      <c r="J33" s="13">
        <f t="shared" si="8"/>
        <v>4497934.5</v>
      </c>
    </row>
    <row r="34" spans="2:19" x14ac:dyDescent="0.25">
      <c r="B34" s="23" t="s">
        <v>42</v>
      </c>
      <c r="C34" s="5" t="s">
        <v>7</v>
      </c>
      <c r="D34" s="12">
        <v>240600</v>
      </c>
      <c r="E34" s="12">
        <f t="shared" si="9"/>
        <v>2887200</v>
      </c>
      <c r="F34" s="12">
        <v>30000</v>
      </c>
      <c r="G34" s="12">
        <v>134100</v>
      </c>
      <c r="H34" s="12">
        <f t="shared" si="10"/>
        <v>530359.5</v>
      </c>
      <c r="I34" s="12"/>
      <c r="J34" s="13">
        <f t="shared" si="8"/>
        <v>3822259.5</v>
      </c>
      <c r="P34" s="1" t="s">
        <v>52</v>
      </c>
      <c r="Q34" s="1" t="s">
        <v>56</v>
      </c>
      <c r="R34" s="1" t="s">
        <v>57</v>
      </c>
    </row>
    <row r="35" spans="2:19" x14ac:dyDescent="0.25">
      <c r="B35" s="23" t="s">
        <v>41</v>
      </c>
      <c r="C35" s="5" t="s">
        <v>78</v>
      </c>
      <c r="D35" s="12">
        <v>220600</v>
      </c>
      <c r="E35" s="12">
        <f t="shared" si="9"/>
        <v>2647200</v>
      </c>
      <c r="F35" s="12">
        <v>30000</v>
      </c>
      <c r="G35" s="12">
        <v>134100</v>
      </c>
      <c r="H35" s="12">
        <f t="shared" ref="H35" si="11">(SUM(D35:G35)*0.155)+(G35*0.15)</f>
        <v>490059.5</v>
      </c>
      <c r="I35" s="12"/>
      <c r="J35" s="13">
        <f t="shared" si="8"/>
        <v>3521959.5</v>
      </c>
      <c r="Q35" s="1" t="s">
        <v>65</v>
      </c>
      <c r="R35" s="1" t="s">
        <v>57</v>
      </c>
      <c r="S35" s="1" t="s">
        <v>60</v>
      </c>
    </row>
    <row r="36" spans="2:19" x14ac:dyDescent="0.25">
      <c r="B36" s="23" t="s">
        <v>52</v>
      </c>
      <c r="C36" s="5" t="s">
        <v>8</v>
      </c>
      <c r="D36" s="12">
        <v>210600</v>
      </c>
      <c r="E36" s="12">
        <f t="shared" si="9"/>
        <v>2527200</v>
      </c>
      <c r="F36" s="12">
        <v>30000</v>
      </c>
      <c r="G36" s="12">
        <v>134100</v>
      </c>
      <c r="H36" s="12">
        <f t="shared" si="10"/>
        <v>469909.5</v>
      </c>
      <c r="I36" s="12">
        <f>1000*12</f>
        <v>12000</v>
      </c>
      <c r="J36" s="13">
        <f t="shared" si="8"/>
        <v>3383809.5</v>
      </c>
      <c r="K36" s="3">
        <f>SUM(J30:J33)</f>
        <v>15325924.5</v>
      </c>
      <c r="Q36" s="1" t="s">
        <v>59</v>
      </c>
      <c r="R36" s="1" t="s">
        <v>57</v>
      </c>
      <c r="S36" s="1" t="s">
        <v>61</v>
      </c>
    </row>
    <row r="37" spans="2:19" x14ac:dyDescent="0.25">
      <c r="B37" s="5" t="s">
        <v>9</v>
      </c>
      <c r="C37" s="5" t="s">
        <v>10</v>
      </c>
      <c r="D37" s="12">
        <v>269391</v>
      </c>
      <c r="E37" s="12">
        <f t="shared" si="9"/>
        <v>3232692</v>
      </c>
      <c r="F37" s="12">
        <v>30000</v>
      </c>
      <c r="G37" s="12">
        <v>134100</v>
      </c>
      <c r="H37" s="12">
        <f t="shared" si="10"/>
        <v>588373.36499999999</v>
      </c>
      <c r="I37" s="12"/>
      <c r="J37" s="13">
        <f t="shared" si="8"/>
        <v>4254556.3650000002</v>
      </c>
      <c r="Q37" s="1" t="s">
        <v>66</v>
      </c>
      <c r="R37" s="1" t="s">
        <v>57</v>
      </c>
      <c r="S37" s="1" t="s">
        <v>63</v>
      </c>
    </row>
    <row r="38" spans="2:19" x14ac:dyDescent="0.25">
      <c r="B38" s="5"/>
      <c r="C38" s="5"/>
      <c r="D38" s="13">
        <f>SUM(D30:D37)</f>
        <v>2272391</v>
      </c>
      <c r="E38" s="13">
        <f t="shared" ref="E38:I38" si="12">SUM(E30:E37)</f>
        <v>27268692</v>
      </c>
      <c r="F38" s="13">
        <f t="shared" si="12"/>
        <v>240000</v>
      </c>
      <c r="G38" s="13">
        <f t="shared" si="12"/>
        <v>1072800</v>
      </c>
      <c r="H38" s="13">
        <f t="shared" si="12"/>
        <v>4943271.8650000002</v>
      </c>
      <c r="I38" s="13">
        <f t="shared" si="12"/>
        <v>447600</v>
      </c>
      <c r="J38" s="13">
        <f>SUM(D38:I38)</f>
        <v>36244754.865000002</v>
      </c>
      <c r="Q38" s="1" t="s">
        <v>68</v>
      </c>
      <c r="R38" s="1" t="s">
        <v>69</v>
      </c>
      <c r="S38" s="1" t="s">
        <v>70</v>
      </c>
    </row>
    <row r="39" spans="2:19" x14ac:dyDescent="0.25">
      <c r="D39" s="4"/>
      <c r="E39" s="4"/>
      <c r="F39" s="4"/>
      <c r="G39" s="4"/>
      <c r="H39" s="4"/>
      <c r="I39" s="4"/>
      <c r="J39" s="4"/>
      <c r="M39" s="1" t="s">
        <v>82</v>
      </c>
    </row>
    <row r="40" spans="2:19" x14ac:dyDescent="0.25">
      <c r="F40" s="3"/>
      <c r="P40" s="1" t="s">
        <v>71</v>
      </c>
      <c r="Q40" s="1" t="s">
        <v>72</v>
      </c>
      <c r="R40" s="1" t="s">
        <v>44</v>
      </c>
      <c r="S40" s="1" t="s">
        <v>73</v>
      </c>
    </row>
    <row r="41" spans="2:19" x14ac:dyDescent="0.25">
      <c r="B41" s="1" t="s">
        <v>11</v>
      </c>
      <c r="D41" s="1" t="s">
        <v>13</v>
      </c>
      <c r="E41" s="1" t="s">
        <v>14</v>
      </c>
      <c r="F41" s="1" t="s">
        <v>15</v>
      </c>
      <c r="G41" s="1" t="s">
        <v>16</v>
      </c>
      <c r="H41" s="1" t="s">
        <v>17</v>
      </c>
      <c r="I41" s="1" t="s">
        <v>18</v>
      </c>
      <c r="J41" s="1" t="s">
        <v>19</v>
      </c>
      <c r="K41" s="1" t="s">
        <v>20</v>
      </c>
      <c r="L41" s="1" t="s">
        <v>21</v>
      </c>
    </row>
    <row r="42" spans="2:19" x14ac:dyDescent="0.25">
      <c r="B42" s="1" t="s">
        <v>85</v>
      </c>
      <c r="D42" s="43">
        <v>38</v>
      </c>
      <c r="L42" s="43">
        <f>SUM(D42:K42)</f>
        <v>38</v>
      </c>
      <c r="M42" s="43">
        <f>SUM(L42:L44)</f>
        <v>56</v>
      </c>
      <c r="P42" s="1" t="s">
        <v>74</v>
      </c>
      <c r="Q42" s="1" t="s">
        <v>56</v>
      </c>
      <c r="R42" s="1" t="s">
        <v>44</v>
      </c>
    </row>
    <row r="43" spans="2:19" x14ac:dyDescent="0.25">
      <c r="B43" s="1" t="s">
        <v>49</v>
      </c>
      <c r="D43" s="43">
        <v>6.75</v>
      </c>
      <c r="E43" s="43">
        <v>1</v>
      </c>
      <c r="F43" s="43">
        <v>1</v>
      </c>
      <c r="G43" s="43"/>
      <c r="H43" s="43">
        <v>1</v>
      </c>
      <c r="I43" s="43"/>
      <c r="J43" s="43"/>
      <c r="K43" s="43">
        <v>2</v>
      </c>
      <c r="L43" s="43">
        <f>SUM(D43:K43)</f>
        <v>11.75</v>
      </c>
      <c r="Q43" s="1" t="s">
        <v>72</v>
      </c>
      <c r="R43" s="1" t="s">
        <v>43</v>
      </c>
      <c r="S43" s="1" t="s">
        <v>75</v>
      </c>
    </row>
    <row r="44" spans="2:19" ht="13.8" thickBot="1" x14ac:dyDescent="0.3">
      <c r="B44" s="56" t="s">
        <v>84</v>
      </c>
      <c r="C44" s="56"/>
      <c r="D44" s="57">
        <v>3</v>
      </c>
      <c r="E44" s="57"/>
      <c r="F44" s="57"/>
      <c r="G44" s="57"/>
      <c r="H44" s="57"/>
      <c r="I44" s="57"/>
      <c r="J44" s="57">
        <v>1</v>
      </c>
      <c r="K44" s="57">
        <v>2.25</v>
      </c>
      <c r="L44" s="57">
        <f>SUM(D44:K44)</f>
        <v>6.25</v>
      </c>
      <c r="M44" s="43">
        <f>+L44+L43</f>
        <v>18</v>
      </c>
    </row>
    <row r="45" spans="2:19" x14ac:dyDescent="0.25">
      <c r="D45" s="3">
        <f t="shared" ref="D45:K47" si="13">+D42/$M$42*$K$36</f>
        <v>10399734.482142858</v>
      </c>
      <c r="E45" s="3">
        <f t="shared" si="13"/>
        <v>0</v>
      </c>
      <c r="F45" s="3">
        <f t="shared" si="13"/>
        <v>0</v>
      </c>
      <c r="G45" s="3">
        <f t="shared" si="13"/>
        <v>0</v>
      </c>
      <c r="H45" s="3">
        <f t="shared" si="13"/>
        <v>0</v>
      </c>
      <c r="I45" s="3">
        <f t="shared" si="13"/>
        <v>0</v>
      </c>
      <c r="J45" s="3">
        <f t="shared" si="13"/>
        <v>0</v>
      </c>
      <c r="K45" s="3">
        <f t="shared" si="13"/>
        <v>0</v>
      </c>
      <c r="L45" s="3"/>
      <c r="P45" s="1" t="s">
        <v>76</v>
      </c>
      <c r="Q45" s="1" t="s">
        <v>62</v>
      </c>
      <c r="R45" s="1" t="s">
        <v>44</v>
      </c>
      <c r="S45" s="1" t="s">
        <v>77</v>
      </c>
    </row>
    <row r="46" spans="2:19" x14ac:dyDescent="0.25">
      <c r="D46" s="3">
        <f t="shared" si="13"/>
        <v>1847321.2566964286</v>
      </c>
      <c r="E46" s="3">
        <f t="shared" si="13"/>
        <v>273677.22321428568</v>
      </c>
      <c r="F46" s="3">
        <f t="shared" si="13"/>
        <v>273677.22321428568</v>
      </c>
      <c r="G46" s="3">
        <f t="shared" si="13"/>
        <v>0</v>
      </c>
      <c r="H46" s="3">
        <f t="shared" si="13"/>
        <v>273677.22321428568</v>
      </c>
      <c r="I46" s="3">
        <f t="shared" si="13"/>
        <v>0</v>
      </c>
      <c r="J46" s="3">
        <f t="shared" si="13"/>
        <v>0</v>
      </c>
      <c r="K46" s="3">
        <f t="shared" si="13"/>
        <v>547354.44642857136</v>
      </c>
      <c r="L46" s="3"/>
    </row>
    <row r="47" spans="2:19" x14ac:dyDescent="0.25">
      <c r="D47" s="3">
        <f t="shared" si="13"/>
        <v>821031.66964285704</v>
      </c>
      <c r="E47" s="3">
        <f t="shared" si="13"/>
        <v>0</v>
      </c>
      <c r="F47" s="3">
        <f t="shared" si="13"/>
        <v>0</v>
      </c>
      <c r="G47" s="3">
        <f t="shared" si="13"/>
        <v>0</v>
      </c>
      <c r="H47" s="3">
        <f t="shared" si="13"/>
        <v>0</v>
      </c>
      <c r="I47" s="3">
        <f t="shared" si="13"/>
        <v>0</v>
      </c>
      <c r="J47" s="3">
        <f t="shared" si="13"/>
        <v>273677.22321428568</v>
      </c>
      <c r="K47" s="3">
        <f t="shared" si="13"/>
        <v>615773.75223214296</v>
      </c>
    </row>
    <row r="48" spans="2:19" x14ac:dyDescent="0.25">
      <c r="D48" s="4">
        <f>SUM(D45:D47)</f>
        <v>13068087.408482144</v>
      </c>
      <c r="E48" s="4">
        <f t="shared" ref="E48:K48" si="14">SUM(E45:E47)</f>
        <v>273677.22321428568</v>
      </c>
      <c r="F48" s="4">
        <f t="shared" si="14"/>
        <v>273677.22321428568</v>
      </c>
      <c r="G48" s="4">
        <f t="shared" si="14"/>
        <v>0</v>
      </c>
      <c r="H48" s="4">
        <f t="shared" si="14"/>
        <v>273677.22321428568</v>
      </c>
      <c r="I48" s="4">
        <f t="shared" si="14"/>
        <v>0</v>
      </c>
      <c r="J48" s="4">
        <f t="shared" si="14"/>
        <v>273677.22321428568</v>
      </c>
      <c r="K48" s="4">
        <f t="shared" si="14"/>
        <v>1163128.1986607143</v>
      </c>
      <c r="L48" s="3">
        <f>SUM(D48:K48)</f>
        <v>15325924.5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Lantos Bernadett</dc:creator>
  <cp:lastModifiedBy>Cserép Zsolt</cp:lastModifiedBy>
  <dcterms:created xsi:type="dcterms:W3CDTF">2020-11-24T19:33:02Z</dcterms:created>
  <dcterms:modified xsi:type="dcterms:W3CDTF">2020-11-27T09:25:02Z</dcterms:modified>
</cp:coreProperties>
</file>