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erlakizoltan.NAGYKOVACSI\OneDrive - Nagykovácsi Polgármesteri Hivatal\2017\2017. évi elemi költségvetés\Mellékletek_2017_ktv\"/>
    </mc:Choice>
  </mc:AlternateContent>
  <bookViews>
    <workbookView xWindow="0" yWindow="0" windowWidth="28800" windowHeight="11910" tabRatio="599" firstSheet="13" activeTab="9"/>
  </bookViews>
  <sheets>
    <sheet name="3. sz. m._kiadások-bevételek" sheetId="70" r:id="rId1"/>
    <sheet name="1A. melléklet_BEVÉTEL_KIADÁS" sheetId="62" state="hidden" r:id="rId2"/>
    <sheet name="4.sz.m.Bevételek" sheetId="42" r:id="rId3"/>
    <sheet name="4.2. sz.m_felh.bev." sheetId="73" r:id="rId4"/>
    <sheet name="3.2.sz.mfelh.bev.részl ÁFA külö" sheetId="61" state="hidden" r:id="rId5"/>
    <sheet name="5. sz. m. Állami támogatások" sheetId="71" r:id="rId6"/>
    <sheet name="6.sz.m.Kiadások" sheetId="23" r:id="rId7"/>
    <sheet name="6.2. sz.m.felh.kiadás" sheetId="74" r:id="rId8"/>
    <sheet name="6A.sz.m.létszám-előir. " sheetId="57" state="hidden" r:id="rId9"/>
    <sheet name="7.sz.Műk.c.átadott.pe. " sheetId="75" r:id="rId10"/>
    <sheet name="7.2.sz.Felh.c.átadott pe." sheetId="79" r:id="rId11"/>
    <sheet name="8.sz.m Tartalékok" sheetId="78" r:id="rId12"/>
    <sheet name="9.sz.m.ütemterv" sheetId="59" r:id="rId13"/>
    <sheet name="10.sz. m.hitelállomány" sheetId="76" r:id="rId14"/>
    <sheet name="10.sz. korábbi évek kötelezetts" sheetId="66" state="hidden" r:id="rId15"/>
    <sheet name="11.sz.m.pályázati bevét" sheetId="53" r:id="rId16"/>
    <sheet name="13.sz.m. Műk_felhalm mérleg" sheetId="69" state="hidden" r:id="rId17"/>
    <sheet name="12.sz.m.kedvezmények" sheetId="68" r:id="rId18"/>
    <sheet name="13.sz.m.létszám-előir. " sheetId="72" r:id="rId19"/>
    <sheet name="Tájékoztató 1. többéves kihatás" sheetId="82" r:id="rId20"/>
    <sheet name="15.sz. m Önként vállalt" sheetId="77" state="hidden" r:id="rId21"/>
  </sheets>
  <definedNames>
    <definedName name="_xlnm._FilterDatabase" localSheetId="7" hidden="1">'6.2. sz.m.felh.kiadás'!$B$2:$B$17</definedName>
    <definedName name="_xlnm._FilterDatabase" localSheetId="9" hidden="1">'7.sz.Műk.c.átadott.pe. '!$4:$8</definedName>
    <definedName name="_xlnm.Print_Titles" localSheetId="2">'4.sz.m.Bevételek'!$1:$4</definedName>
    <definedName name="_xlnm.Print_Area" localSheetId="14">'10.sz. korábbi évek kötelezetts'!$A$1:$Q$29</definedName>
    <definedName name="_xlnm.Print_Area" localSheetId="15">'11.sz.m.pályázati bevét'!$A$1:$C$5</definedName>
    <definedName name="_xlnm.Print_Area" localSheetId="16">'13.sz.m. Műk_felhalm mérleg'!$A$1:$D$34</definedName>
    <definedName name="_xlnm.Print_Area" localSheetId="20">'15.sz. m Önként vállalt'!$A$1:$B$53</definedName>
    <definedName name="_xlnm.Print_Area" localSheetId="1">'1A. melléklet_BEVÉTEL_KIADÁS'!$A$1:$D$37</definedName>
    <definedName name="_xlnm.Print_Area" localSheetId="0">'3. sz. m._kiadások-bevételek'!$A$1:$N$65</definedName>
    <definedName name="_xlnm.Print_Area" localSheetId="4">'3.2.sz.mfelh.bev.részl ÁFA külö'!$A$1:$H$32</definedName>
    <definedName name="_xlnm.Print_Area" localSheetId="3">'4.2. sz.m_felh.bev.'!$A$1:$K$8</definedName>
    <definedName name="_xlnm.Print_Area" localSheetId="2">'4.sz.m.Bevételek'!$A$1:$E$27</definedName>
    <definedName name="_xlnm.Print_Area" localSheetId="5">'5. sz. m. Állami támogatások'!$A$1:$H$36</definedName>
    <definedName name="_xlnm.Print_Area" localSheetId="7">'6.2. sz.m.felh.kiadás'!$A$1:$C$15</definedName>
    <definedName name="_xlnm.Print_Area" localSheetId="6">'6.sz.m.Kiadások'!$A$1:$E$41</definedName>
    <definedName name="_xlnm.Print_Area" localSheetId="9">'7.sz.Műk.c.átadott.pe. '!$A$1:$M$32</definedName>
    <definedName name="_xlnm.Print_Area" localSheetId="11">'8.sz.m Tartalékok'!$A$1:$C$22</definedName>
    <definedName name="_xlnm.Print_Area" localSheetId="12">'9.sz.m.ütemterv'!$A$1:$O$21</definedName>
  </definedNames>
  <calcPr calcId="171027"/>
</workbook>
</file>

<file path=xl/calcChain.xml><?xml version="1.0" encoding="utf-8"?>
<calcChain xmlns="http://schemas.openxmlformats.org/spreadsheetml/2006/main">
  <c r="Q32" i="75" l="1"/>
  <c r="Q31" i="75"/>
  <c r="R32" i="75"/>
  <c r="K52" i="70" l="1"/>
  <c r="D7" i="23"/>
  <c r="D8" i="23"/>
  <c r="Q20" i="75"/>
  <c r="Q19" i="75"/>
  <c r="Q11" i="75"/>
  <c r="R21" i="75"/>
  <c r="E11" i="75"/>
  <c r="G11" i="75" s="1"/>
  <c r="I11" i="75" s="1"/>
  <c r="G28" i="75"/>
  <c r="I28" i="75" s="1"/>
  <c r="R28" i="75"/>
  <c r="Q29" i="75"/>
  <c r="H17" i="72"/>
  <c r="E17" i="72"/>
  <c r="F17" i="72"/>
  <c r="O7" i="59"/>
  <c r="G17" i="72"/>
  <c r="D17" i="72"/>
  <c r="K11" i="75" l="1"/>
  <c r="M11" i="75" s="1"/>
  <c r="O11" i="75" s="1"/>
  <c r="K28" i="75"/>
  <c r="M28" i="75" s="1"/>
  <c r="O28" i="75" s="1"/>
  <c r="M63" i="70"/>
  <c r="M62" i="70"/>
  <c r="M61" i="70"/>
  <c r="M60" i="70"/>
  <c r="M59" i="70"/>
  <c r="M58" i="70"/>
  <c r="M57" i="70"/>
  <c r="M56" i="70"/>
  <c r="M55" i="70"/>
  <c r="M54" i="70"/>
  <c r="M53" i="70"/>
  <c r="M52" i="70"/>
  <c r="M51" i="70"/>
  <c r="M50" i="70"/>
  <c r="M49" i="70"/>
  <c r="M48" i="70"/>
  <c r="M47" i="70"/>
  <c r="M46" i="70"/>
  <c r="M45" i="70"/>
  <c r="M44" i="70"/>
  <c r="M43" i="70"/>
  <c r="M42" i="70"/>
  <c r="M65" i="70" s="1"/>
  <c r="D15" i="23" l="1"/>
  <c r="D38" i="62"/>
  <c r="D23" i="70"/>
  <c r="D24" i="42"/>
  <c r="D23" i="42" s="1"/>
  <c r="E23" i="42" s="1"/>
  <c r="D13" i="42"/>
  <c r="E13" i="42" s="1"/>
  <c r="D11" i="42"/>
  <c r="D10" i="42"/>
  <c r="E10" i="42" s="1"/>
  <c r="D8" i="42"/>
  <c r="D7" i="42"/>
  <c r="D8" i="62" s="1"/>
  <c r="R15" i="75"/>
  <c r="R10" i="75"/>
  <c r="Q27" i="75"/>
  <c r="Q26" i="75"/>
  <c r="Q25" i="75"/>
  <c r="Q18" i="75"/>
  <c r="Q17" i="75"/>
  <c r="Q16" i="75"/>
  <c r="Q14" i="75"/>
  <c r="Q13" i="75"/>
  <c r="Q12" i="75"/>
  <c r="Q9" i="75"/>
  <c r="Q8" i="75"/>
  <c r="Q7" i="75"/>
  <c r="Q6" i="75"/>
  <c r="Q5" i="75"/>
  <c r="D12" i="70"/>
  <c r="F14" i="74"/>
  <c r="H14" i="74" s="1"/>
  <c r="L14" i="74" s="1"/>
  <c r="B19" i="78"/>
  <c r="E16" i="75"/>
  <c r="G16" i="75" s="1"/>
  <c r="K16" i="75" s="1"/>
  <c r="M16" i="75" s="1"/>
  <c r="O16" i="75" s="1"/>
  <c r="E17" i="75"/>
  <c r="G17" i="75" s="1"/>
  <c r="C30" i="75"/>
  <c r="E15" i="75"/>
  <c r="G15" i="75" s="1"/>
  <c r="C15" i="74"/>
  <c r="D53" i="70" s="1"/>
  <c r="D20" i="23" s="1"/>
  <c r="E20" i="23" s="1"/>
  <c r="C32" i="71"/>
  <c r="E14" i="75"/>
  <c r="G14" i="75" s="1"/>
  <c r="E21" i="75"/>
  <c r="G21" i="75" s="1"/>
  <c r="K21" i="75" s="1"/>
  <c r="M21" i="75" s="1"/>
  <c r="O21" i="75" s="1"/>
  <c r="C22" i="75"/>
  <c r="E13" i="75"/>
  <c r="G13" i="75" s="1"/>
  <c r="C6" i="79"/>
  <c r="D57" i="70" s="1"/>
  <c r="D55" i="70" s="1"/>
  <c r="H34" i="71"/>
  <c r="H36" i="71" s="1"/>
  <c r="G27" i="71"/>
  <c r="G26" i="71"/>
  <c r="G32" i="71" s="1"/>
  <c r="G36" i="71" s="1"/>
  <c r="E4" i="71"/>
  <c r="E13" i="71" s="1"/>
  <c r="E36" i="71" s="1"/>
  <c r="O6" i="59"/>
  <c r="A7" i="59"/>
  <c r="A6" i="59"/>
  <c r="A5" i="59"/>
  <c r="N14" i="59"/>
  <c r="D14" i="59"/>
  <c r="A12" i="59"/>
  <c r="A18" i="59"/>
  <c r="A17" i="59"/>
  <c r="A16" i="59"/>
  <c r="A15" i="59"/>
  <c r="A14" i="59"/>
  <c r="A13" i="59"/>
  <c r="D4" i="59"/>
  <c r="A8" i="59"/>
  <c r="A4" i="59"/>
  <c r="A3" i="59"/>
  <c r="A2" i="59"/>
  <c r="C17" i="69"/>
  <c r="C11" i="69"/>
  <c r="C9" i="69"/>
  <c r="A21" i="69"/>
  <c r="A20" i="69"/>
  <c r="A19" i="69"/>
  <c r="A18" i="69"/>
  <c r="A17" i="69"/>
  <c r="B12" i="69"/>
  <c r="C10" i="69"/>
  <c r="A11" i="69"/>
  <c r="A10" i="69"/>
  <c r="A9" i="69"/>
  <c r="A8" i="69"/>
  <c r="D40" i="62"/>
  <c r="C40" i="62"/>
  <c r="C38" i="62"/>
  <c r="E15" i="23"/>
  <c r="E14" i="23"/>
  <c r="E13" i="23"/>
  <c r="E12" i="23"/>
  <c r="E10" i="23"/>
  <c r="D9" i="23"/>
  <c r="E9" i="23" s="1"/>
  <c r="E8" i="23"/>
  <c r="C32" i="62"/>
  <c r="C28" i="62" s="1"/>
  <c r="C27" i="62" s="1"/>
  <c r="C25" i="62"/>
  <c r="C24" i="62" s="1"/>
  <c r="C22" i="62"/>
  <c r="C21" i="62"/>
  <c r="C20" i="62"/>
  <c r="C18" i="62" s="1"/>
  <c r="C16" i="62"/>
  <c r="D16" i="62"/>
  <c r="D14" i="62"/>
  <c r="C14" i="62"/>
  <c r="C12" i="62"/>
  <c r="C13" i="62"/>
  <c r="C11" i="62"/>
  <c r="C9" i="62"/>
  <c r="C8" i="62"/>
  <c r="D52" i="62"/>
  <c r="C52" i="62"/>
  <c r="D48" i="62"/>
  <c r="D45" i="62" s="1"/>
  <c r="C48" i="62"/>
  <c r="C45" i="62" s="1"/>
  <c r="D41" i="62"/>
  <c r="C41" i="62"/>
  <c r="D14" i="42"/>
  <c r="D15" i="62" s="1"/>
  <c r="E33" i="71"/>
  <c r="F32" i="71"/>
  <c r="D30" i="71"/>
  <c r="D29" i="71"/>
  <c r="D28" i="71"/>
  <c r="D25" i="71"/>
  <c r="C23" i="71"/>
  <c r="F22" i="71"/>
  <c r="F21" i="71"/>
  <c r="F20" i="71"/>
  <c r="F19" i="71"/>
  <c r="F18" i="71"/>
  <c r="F17" i="71"/>
  <c r="F16" i="71"/>
  <c r="F15" i="71"/>
  <c r="D12" i="71"/>
  <c r="D11" i="71"/>
  <c r="D10" i="71"/>
  <c r="C5" i="71"/>
  <c r="N62" i="70"/>
  <c r="N61" i="70"/>
  <c r="L60" i="70"/>
  <c r="L59" i="70"/>
  <c r="J60" i="70"/>
  <c r="J59" i="70"/>
  <c r="H60" i="70"/>
  <c r="H59" i="70"/>
  <c r="F60" i="70"/>
  <c r="F59" i="70" s="1"/>
  <c r="N58" i="70"/>
  <c r="N56" i="70"/>
  <c r="L55" i="70"/>
  <c r="L52" i="70" s="1"/>
  <c r="J55" i="70"/>
  <c r="J52" i="70" s="1"/>
  <c r="H55" i="70"/>
  <c r="H52" i="70" s="1"/>
  <c r="F55" i="70"/>
  <c r="F52" i="70" s="1"/>
  <c r="N54" i="70"/>
  <c r="N49" i="70"/>
  <c r="L48" i="70"/>
  <c r="L43" i="70"/>
  <c r="J48" i="70"/>
  <c r="J43" i="70" s="1"/>
  <c r="H48" i="70"/>
  <c r="H43" i="70" s="1"/>
  <c r="F48" i="70"/>
  <c r="F43" i="70" s="1"/>
  <c r="N47" i="70"/>
  <c r="B20" i="69" s="1"/>
  <c r="N46" i="70"/>
  <c r="B19" i="69" s="1"/>
  <c r="N45" i="70"/>
  <c r="B18" i="69" s="1"/>
  <c r="N35" i="70"/>
  <c r="N33" i="70"/>
  <c r="N32" i="70"/>
  <c r="N31" i="70"/>
  <c r="L30" i="70"/>
  <c r="L29" i="70" s="1"/>
  <c r="J30" i="70"/>
  <c r="J29" i="70" s="1"/>
  <c r="H30" i="70"/>
  <c r="H29" i="70" s="1"/>
  <c r="D30" i="70"/>
  <c r="D26" i="42" s="1"/>
  <c r="D25" i="42" s="1"/>
  <c r="E25" i="42" s="1"/>
  <c r="N28" i="70"/>
  <c r="N27" i="70"/>
  <c r="L26" i="70"/>
  <c r="J26" i="70"/>
  <c r="J19" i="70" s="1"/>
  <c r="H26" i="70"/>
  <c r="F26" i="70"/>
  <c r="D26" i="70"/>
  <c r="N26" i="70" s="1"/>
  <c r="D11" i="69" s="1"/>
  <c r="N25" i="70"/>
  <c r="L23" i="70"/>
  <c r="J23" i="70"/>
  <c r="H23" i="70"/>
  <c r="H19" i="70" s="1"/>
  <c r="F23" i="70"/>
  <c r="N21" i="70"/>
  <c r="L20" i="70"/>
  <c r="L19" i="70" s="1"/>
  <c r="J20" i="70"/>
  <c r="H20" i="70"/>
  <c r="F20" i="70"/>
  <c r="N18" i="70"/>
  <c r="L17" i="70"/>
  <c r="J17" i="70"/>
  <c r="H17" i="70"/>
  <c r="F17" i="70"/>
  <c r="D17" i="70"/>
  <c r="N15" i="70"/>
  <c r="N14" i="70"/>
  <c r="N13" i="70"/>
  <c r="L12" i="70"/>
  <c r="J12" i="70"/>
  <c r="H12" i="70"/>
  <c r="F12" i="70"/>
  <c r="N11" i="70"/>
  <c r="N10" i="70"/>
  <c r="L9" i="70"/>
  <c r="L8" i="70" s="1"/>
  <c r="J9" i="70"/>
  <c r="H9" i="70"/>
  <c r="F9" i="70"/>
  <c r="F8" i="70" s="1"/>
  <c r="D9" i="70"/>
  <c r="G6" i="73"/>
  <c r="I6" i="73" s="1"/>
  <c r="K6" i="73" s="1"/>
  <c r="F4" i="73"/>
  <c r="E15" i="74"/>
  <c r="F7" i="74"/>
  <c r="A37" i="77"/>
  <c r="B37" i="77"/>
  <c r="A38" i="77"/>
  <c r="B38" i="77"/>
  <c r="A39" i="77"/>
  <c r="B39" i="77"/>
  <c r="A40" i="77"/>
  <c r="B40" i="77"/>
  <c r="A41" i="77"/>
  <c r="B41" i="77"/>
  <c r="A42" i="77"/>
  <c r="B42" i="77"/>
  <c r="A43" i="77"/>
  <c r="B43" i="77"/>
  <c r="A44" i="77"/>
  <c r="B44" i="77"/>
  <c r="A45" i="77"/>
  <c r="B45" i="77"/>
  <c r="A46" i="77"/>
  <c r="B46" i="77"/>
  <c r="A47" i="77"/>
  <c r="B47" i="77"/>
  <c r="A48" i="77"/>
  <c r="B48" i="77"/>
  <c r="A49" i="77"/>
  <c r="B49" i="77"/>
  <c r="A50" i="77"/>
  <c r="B50" i="77"/>
  <c r="A51" i="77"/>
  <c r="B51" i="77"/>
  <c r="A52" i="77"/>
  <c r="B52" i="77"/>
  <c r="A53" i="77"/>
  <c r="B53" i="77"/>
  <c r="B36" i="77"/>
  <c r="B35" i="77" s="1"/>
  <c r="A36" i="77"/>
  <c r="B33" i="77"/>
  <c r="B32" i="77"/>
  <c r="B31" i="77" s="1"/>
  <c r="B22" i="77"/>
  <c r="B23" i="77"/>
  <c r="B24" i="77"/>
  <c r="B25" i="77"/>
  <c r="B26" i="77"/>
  <c r="B27" i="77"/>
  <c r="B28" i="77"/>
  <c r="B29" i="77"/>
  <c r="B21" i="77"/>
  <c r="B9" i="77"/>
  <c r="E12" i="75"/>
  <c r="G12" i="75" s="1"/>
  <c r="K12" i="75" s="1"/>
  <c r="M12" i="75" s="1"/>
  <c r="O12" i="75" s="1"/>
  <c r="F13" i="74"/>
  <c r="H13" i="74" s="1"/>
  <c r="F10" i="74"/>
  <c r="H10" i="74" s="1"/>
  <c r="J10" i="74" s="1"/>
  <c r="B5" i="53"/>
  <c r="Q24" i="66"/>
  <c r="Q20" i="66"/>
  <c r="Q16" i="66"/>
  <c r="Q12" i="66"/>
  <c r="Q8" i="66"/>
  <c r="O26" i="66"/>
  <c r="P26" i="66" s="1"/>
  <c r="O27" i="66"/>
  <c r="Q27" i="66" s="1"/>
  <c r="B28" i="66"/>
  <c r="C28" i="66"/>
  <c r="D28" i="66"/>
  <c r="E28" i="66"/>
  <c r="F28" i="66"/>
  <c r="G28" i="66"/>
  <c r="H28" i="66"/>
  <c r="I28" i="66"/>
  <c r="J28" i="66"/>
  <c r="K28" i="66"/>
  <c r="L28" i="66"/>
  <c r="M28" i="66"/>
  <c r="N28" i="66"/>
  <c r="E10" i="66"/>
  <c r="O10" i="66"/>
  <c r="P10" i="66" s="1"/>
  <c r="E14" i="66"/>
  <c r="E18" i="66"/>
  <c r="E22" i="66"/>
  <c r="E25" i="66"/>
  <c r="F18" i="66"/>
  <c r="F22" i="66"/>
  <c r="F25" i="66"/>
  <c r="G18" i="66"/>
  <c r="G29" i="66" s="1"/>
  <c r="G22" i="66"/>
  <c r="G25" i="66"/>
  <c r="H22" i="66"/>
  <c r="H29" i="66"/>
  <c r="H25" i="66"/>
  <c r="I25" i="66"/>
  <c r="J25" i="66"/>
  <c r="K25" i="66"/>
  <c r="K29" i="66" s="1"/>
  <c r="L25" i="66"/>
  <c r="M25" i="66"/>
  <c r="M29" i="66" s="1"/>
  <c r="N25" i="66"/>
  <c r="C10" i="57"/>
  <c r="C27" i="57" s="1"/>
  <c r="C23" i="57"/>
  <c r="C26" i="57"/>
  <c r="D10" i="57"/>
  <c r="D23" i="57"/>
  <c r="D26" i="57"/>
  <c r="E10" i="57"/>
  <c r="E23" i="57"/>
  <c r="E26" i="57"/>
  <c r="F10" i="57"/>
  <c r="F23" i="57"/>
  <c r="F26" i="57"/>
  <c r="G10" i="57"/>
  <c r="G23" i="57"/>
  <c r="G26" i="57"/>
  <c r="H25" i="57"/>
  <c r="H24" i="57"/>
  <c r="H22" i="57"/>
  <c r="H21" i="57"/>
  <c r="H20" i="57"/>
  <c r="H17" i="57"/>
  <c r="H16" i="57"/>
  <c r="H15" i="57"/>
  <c r="H14" i="57"/>
  <c r="H13" i="57"/>
  <c r="H12" i="57"/>
  <c r="H11" i="57"/>
  <c r="H9" i="57"/>
  <c r="H8" i="57"/>
  <c r="H7" i="57"/>
  <c r="H6" i="57"/>
  <c r="B6" i="78"/>
  <c r="F3" i="74"/>
  <c r="H3" i="74" s="1"/>
  <c r="F4" i="74"/>
  <c r="H4" i="74"/>
  <c r="L4" i="74" s="1"/>
  <c r="F5" i="74"/>
  <c r="H5" i="74" s="1"/>
  <c r="F8" i="74"/>
  <c r="H8" i="74" s="1"/>
  <c r="J8" i="74" s="1"/>
  <c r="F9" i="74"/>
  <c r="H9" i="74" s="1"/>
  <c r="L9" i="74" s="1"/>
  <c r="F11" i="74"/>
  <c r="H11" i="74" s="1"/>
  <c r="L11" i="74" s="1"/>
  <c r="F12" i="74"/>
  <c r="H12" i="74" s="1"/>
  <c r="J12" i="74" s="1"/>
  <c r="O6" i="66"/>
  <c r="O7" i="66"/>
  <c r="P7" i="66"/>
  <c r="O8" i="66"/>
  <c r="O9" i="66"/>
  <c r="O11" i="66"/>
  <c r="P11" i="66" s="1"/>
  <c r="Q11" i="66"/>
  <c r="O12" i="66"/>
  <c r="O13" i="66"/>
  <c r="Q13" i="66" s="1"/>
  <c r="O15" i="66"/>
  <c r="O16" i="66"/>
  <c r="O19" i="66"/>
  <c r="O20" i="66"/>
  <c r="O21" i="66"/>
  <c r="Q21" i="66" s="1"/>
  <c r="O23" i="66"/>
  <c r="O5" i="66"/>
  <c r="P5" i="66" s="1"/>
  <c r="E5" i="75"/>
  <c r="G5" i="75" s="1"/>
  <c r="E6" i="75"/>
  <c r="G6" i="75" s="1"/>
  <c r="E8" i="75"/>
  <c r="G8" i="75" s="1"/>
  <c r="E9" i="75"/>
  <c r="G9" i="75" s="1"/>
  <c r="K9" i="75" s="1"/>
  <c r="M9" i="75" s="1"/>
  <c r="O9" i="75" s="1"/>
  <c r="E10" i="75"/>
  <c r="G10" i="75" s="1"/>
  <c r="I10" i="75" s="1"/>
  <c r="D22" i="75"/>
  <c r="F22" i="75"/>
  <c r="F32" i="75" s="1"/>
  <c r="H22" i="75"/>
  <c r="J22" i="75"/>
  <c r="L22" i="75"/>
  <c r="N22" i="75"/>
  <c r="M23" i="75"/>
  <c r="O23" i="75" s="1"/>
  <c r="M24" i="75"/>
  <c r="O24" i="75" s="1"/>
  <c r="G25" i="75"/>
  <c r="I25" i="75" s="1"/>
  <c r="D30" i="75"/>
  <c r="D32" i="75" s="1"/>
  <c r="E30" i="75"/>
  <c r="F30" i="75"/>
  <c r="H30" i="75"/>
  <c r="J30" i="75"/>
  <c r="L30" i="75"/>
  <c r="N30" i="75"/>
  <c r="M31" i="75"/>
  <c r="O31" i="75" s="1"/>
  <c r="P3" i="74"/>
  <c r="R3" i="74" s="1"/>
  <c r="P4" i="74"/>
  <c r="R4" i="74" s="1"/>
  <c r="P5" i="74"/>
  <c r="R5" i="74"/>
  <c r="P8" i="74"/>
  <c r="R8" i="74" s="1"/>
  <c r="P9" i="74"/>
  <c r="R9" i="74" s="1"/>
  <c r="P11" i="74"/>
  <c r="R11" i="74" s="1"/>
  <c r="P12" i="74"/>
  <c r="R12" i="74" s="1"/>
  <c r="G15" i="74"/>
  <c r="I15" i="74"/>
  <c r="K15" i="74"/>
  <c r="M15" i="74"/>
  <c r="O15" i="74"/>
  <c r="Q15" i="74"/>
  <c r="R16" i="74"/>
  <c r="R17" i="74"/>
  <c r="M18" i="74"/>
  <c r="D4" i="73"/>
  <c r="H4" i="73"/>
  <c r="H8" i="73" s="1"/>
  <c r="J4" i="73"/>
  <c r="I5" i="73"/>
  <c r="K5" i="73"/>
  <c r="E6" i="73"/>
  <c r="C7" i="73"/>
  <c r="D22" i="70" s="1"/>
  <c r="D7" i="73"/>
  <c r="E7" i="73" s="1"/>
  <c r="F7" i="73"/>
  <c r="H7" i="73"/>
  <c r="J7" i="73"/>
  <c r="C10" i="72"/>
  <c r="C17" i="72" s="1"/>
  <c r="D10" i="72"/>
  <c r="B4" i="68"/>
  <c r="B7" i="68"/>
  <c r="B9" i="68"/>
  <c r="B12" i="68"/>
  <c r="B19" i="68"/>
  <c r="B21" i="68"/>
  <c r="D10" i="66"/>
  <c r="D25" i="66"/>
  <c r="B6" i="66"/>
  <c r="C6" i="66"/>
  <c r="C10" i="66"/>
  <c r="C14" i="66"/>
  <c r="C18" i="66"/>
  <c r="C22" i="66"/>
  <c r="C25" i="66"/>
  <c r="D6" i="66"/>
  <c r="B10" i="66"/>
  <c r="B14" i="66"/>
  <c r="D14" i="66"/>
  <c r="B18" i="66"/>
  <c r="D18" i="66"/>
  <c r="B22" i="66"/>
  <c r="D22" i="66"/>
  <c r="B25" i="66"/>
  <c r="O20" i="59"/>
  <c r="E5" i="61"/>
  <c r="F5" i="61" s="1"/>
  <c r="C6" i="61"/>
  <c r="G6" i="61"/>
  <c r="C7" i="61"/>
  <c r="E7" i="61" s="1"/>
  <c r="G7" i="61"/>
  <c r="C8" i="61"/>
  <c r="E8" i="61" s="1"/>
  <c r="G8" i="61"/>
  <c r="E9" i="61"/>
  <c r="G9" i="61"/>
  <c r="F9" i="61" s="1"/>
  <c r="E10" i="61"/>
  <c r="H10" i="61" s="1"/>
  <c r="G10" i="61"/>
  <c r="C11" i="61"/>
  <c r="E11" i="61" s="1"/>
  <c r="G11" i="61"/>
  <c r="D12" i="61"/>
  <c r="D32" i="61" s="1"/>
  <c r="E13" i="61"/>
  <c r="G13" i="61"/>
  <c r="F13" i="61" s="1"/>
  <c r="E14" i="61"/>
  <c r="F14" i="61" s="1"/>
  <c r="G14" i="61"/>
  <c r="F15" i="61"/>
  <c r="E16" i="61"/>
  <c r="H16" i="61" s="1"/>
  <c r="F16" i="61"/>
  <c r="E17" i="61"/>
  <c r="H17" i="61" s="1"/>
  <c r="E18" i="61"/>
  <c r="F18" i="61" s="1"/>
  <c r="G19" i="61"/>
  <c r="G20" i="61"/>
  <c r="E21" i="61"/>
  <c r="F21" i="61" s="1"/>
  <c r="H21" i="61"/>
  <c r="E22" i="61"/>
  <c r="H22" i="61" s="1"/>
  <c r="G23" i="61"/>
  <c r="C24" i="61"/>
  <c r="D25" i="61"/>
  <c r="F25" i="61"/>
  <c r="H25" i="61"/>
  <c r="D26" i="61"/>
  <c r="F26" i="61"/>
  <c r="H26" i="61"/>
  <c r="D27" i="61"/>
  <c r="F27" i="61"/>
  <c r="H27" i="61"/>
  <c r="D28" i="61"/>
  <c r="F28" i="61"/>
  <c r="H28" i="61"/>
  <c r="D29" i="61"/>
  <c r="F29" i="61"/>
  <c r="H29" i="61"/>
  <c r="C30" i="61"/>
  <c r="E30" i="61"/>
  <c r="G30" i="61"/>
  <c r="D31" i="61"/>
  <c r="F31" i="61"/>
  <c r="H31" i="61"/>
  <c r="O24" i="66"/>
  <c r="O17" i="66"/>
  <c r="Q17" i="66"/>
  <c r="C5" i="53"/>
  <c r="B18" i="77"/>
  <c r="B17" i="77" s="1"/>
  <c r="G4" i="73"/>
  <c r="N16" i="70"/>
  <c r="B10" i="69" s="1"/>
  <c r="I15" i="59"/>
  <c r="H14" i="59"/>
  <c r="C14" i="59"/>
  <c r="N15" i="74"/>
  <c r="I14" i="59"/>
  <c r="D13" i="59"/>
  <c r="J13" i="59"/>
  <c r="D27" i="57"/>
  <c r="E24" i="61"/>
  <c r="Q10" i="66"/>
  <c r="F10" i="61"/>
  <c r="O8" i="59"/>
  <c r="N24" i="70"/>
  <c r="D21" i="42"/>
  <c r="E21" i="42" s="1"/>
  <c r="N23" i="70"/>
  <c r="D10" i="69" s="1"/>
  <c r="N44" i="70"/>
  <c r="B17" i="69" s="1"/>
  <c r="L12" i="59"/>
  <c r="C12" i="59"/>
  <c r="G12" i="59"/>
  <c r="F7" i="61"/>
  <c r="H18" i="61"/>
  <c r="C39" i="62"/>
  <c r="F17" i="61"/>
  <c r="G24" i="61"/>
  <c r="H10" i="57"/>
  <c r="N57" i="70"/>
  <c r="N15" i="59"/>
  <c r="I29" i="66"/>
  <c r="H5" i="61"/>
  <c r="P15" i="66"/>
  <c r="Q15" i="66" s="1"/>
  <c r="H26" i="57"/>
  <c r="C13" i="59"/>
  <c r="N13" i="59"/>
  <c r="G3" i="59"/>
  <c r="H3" i="59"/>
  <c r="D32" i="71" l="1"/>
  <c r="D5" i="71"/>
  <c r="D13" i="71" s="1"/>
  <c r="D36" i="71" s="1"/>
  <c r="C13" i="71"/>
  <c r="C36" i="71" s="1"/>
  <c r="F23" i="71"/>
  <c r="F36" i="71" s="1"/>
  <c r="D39" i="62"/>
  <c r="D32" i="62"/>
  <c r="D28" i="62" s="1"/>
  <c r="D27" i="62" s="1"/>
  <c r="D11" i="62"/>
  <c r="L42" i="70"/>
  <c r="L65" i="70" s="1"/>
  <c r="J42" i="70"/>
  <c r="J65" i="70" s="1"/>
  <c r="F42" i="70"/>
  <c r="F65" i="70" s="1"/>
  <c r="N34" i="70" s="1"/>
  <c r="L7" i="70"/>
  <c r="L36" i="70" s="1"/>
  <c r="E24" i="42"/>
  <c r="D25" i="62"/>
  <c r="D24" i="62" s="1"/>
  <c r="D22" i="62"/>
  <c r="D21" i="62" s="1"/>
  <c r="D20" i="42"/>
  <c r="E20" i="42" s="1"/>
  <c r="D20" i="70"/>
  <c r="D19" i="70" s="1"/>
  <c r="D19" i="42"/>
  <c r="D20" i="62" s="1"/>
  <c r="D18" i="62" s="1"/>
  <c r="G7" i="73"/>
  <c r="I7" i="73" s="1"/>
  <c r="K7" i="73" s="1"/>
  <c r="F8" i="73"/>
  <c r="C8" i="73"/>
  <c r="G8" i="73" s="1"/>
  <c r="I8" i="73" s="1"/>
  <c r="R15" i="74"/>
  <c r="L10" i="74"/>
  <c r="L8" i="74"/>
  <c r="J4" i="74"/>
  <c r="L12" i="74"/>
  <c r="H32" i="75"/>
  <c r="Q22" i="75"/>
  <c r="L32" i="75"/>
  <c r="R22" i="75"/>
  <c r="I16" i="75"/>
  <c r="K25" i="75"/>
  <c r="M25" i="75" s="1"/>
  <c r="O25" i="75" s="1"/>
  <c r="I12" i="75"/>
  <c r="I9" i="75"/>
  <c r="B20" i="77"/>
  <c r="N12" i="59"/>
  <c r="K14" i="59"/>
  <c r="M4" i="59"/>
  <c r="C7" i="62"/>
  <c r="F7" i="70"/>
  <c r="N19" i="70"/>
  <c r="K3" i="59"/>
  <c r="E3" i="59"/>
  <c r="N3" i="59"/>
  <c r="D17" i="42"/>
  <c r="H24" i="61"/>
  <c r="F24" i="61"/>
  <c r="C12" i="61"/>
  <c r="C32" i="61" s="1"/>
  <c r="D8" i="73"/>
  <c r="E8" i="73" s="1"/>
  <c r="E4" i="73"/>
  <c r="N12" i="70"/>
  <c r="B9" i="69" s="1"/>
  <c r="N4" i="59"/>
  <c r="G4" i="59"/>
  <c r="C4" i="59"/>
  <c r="J15" i="59"/>
  <c r="F15" i="59"/>
  <c r="K15" i="59"/>
  <c r="M15" i="59"/>
  <c r="I15" i="75"/>
  <c r="K15" i="75"/>
  <c r="M15" i="75" s="1"/>
  <c r="O15" i="75" s="1"/>
  <c r="D12" i="62"/>
  <c r="E11" i="42"/>
  <c r="C3" i="59"/>
  <c r="D3" i="59"/>
  <c r="H14" i="61"/>
  <c r="C15" i="59"/>
  <c r="H9" i="61"/>
  <c r="E26" i="42"/>
  <c r="H12" i="59"/>
  <c r="D12" i="59"/>
  <c r="J12" i="59"/>
  <c r="E12" i="59"/>
  <c r="E15" i="59"/>
  <c r="J8" i="70"/>
  <c r="J7" i="70" s="1"/>
  <c r="J36" i="70" s="1"/>
  <c r="C15" i="62"/>
  <c r="C10" i="62"/>
  <c r="E13" i="59"/>
  <c r="M13" i="59"/>
  <c r="H13" i="59"/>
  <c r="F13" i="59"/>
  <c r="F3" i="59"/>
  <c r="J3" i="59"/>
  <c r="D12" i="42"/>
  <c r="J4" i="59"/>
  <c r="G15" i="59"/>
  <c r="M12" i="59"/>
  <c r="K12" i="59"/>
  <c r="I13" i="59"/>
  <c r="N22" i="70"/>
  <c r="L13" i="59"/>
  <c r="F22" i="61"/>
  <c r="D30" i="61"/>
  <c r="H30" i="61"/>
  <c r="J32" i="75"/>
  <c r="O25" i="66"/>
  <c r="I3" i="59"/>
  <c r="L3" i="59"/>
  <c r="M3" i="59"/>
  <c r="I21" i="75"/>
  <c r="H4" i="59"/>
  <c r="K13" i="59"/>
  <c r="H13" i="61"/>
  <c r="H15" i="59"/>
  <c r="L15" i="59"/>
  <c r="E6" i="61"/>
  <c r="F12" i="59"/>
  <c r="I12" i="59"/>
  <c r="C37" i="62"/>
  <c r="C36" i="62" s="1"/>
  <c r="C35" i="62" s="1"/>
  <c r="C34" i="62" s="1"/>
  <c r="Q5" i="66"/>
  <c r="G13" i="59"/>
  <c r="K10" i="75"/>
  <c r="M10" i="75" s="1"/>
  <c r="O10" i="75" s="1"/>
  <c r="F4" i="59"/>
  <c r="D15" i="59"/>
  <c r="P23" i="66"/>
  <c r="Q23" i="66"/>
  <c r="O22" i="66"/>
  <c r="F19" i="70"/>
  <c r="D29" i="70"/>
  <c r="I4" i="73"/>
  <c r="K4" i="73" s="1"/>
  <c r="H11" i="61"/>
  <c r="C29" i="66"/>
  <c r="B8" i="68"/>
  <c r="B16" i="68" s="1"/>
  <c r="B22" i="68" s="1"/>
  <c r="E27" i="57"/>
  <c r="N29" i="66"/>
  <c r="J29" i="66"/>
  <c r="J8" i="73"/>
  <c r="F27" i="57"/>
  <c r="L29" i="66"/>
  <c r="H8" i="70"/>
  <c r="H7" i="70" s="1"/>
  <c r="H36" i="70" s="1"/>
  <c r="H42" i="70"/>
  <c r="H65" i="70" s="1"/>
  <c r="J11" i="74"/>
  <c r="J14" i="74"/>
  <c r="J13" i="74"/>
  <c r="L13" i="74"/>
  <c r="L5" i="74"/>
  <c r="J5" i="74"/>
  <c r="J9" i="74"/>
  <c r="H6" i="61"/>
  <c r="F6" i="61"/>
  <c r="E7" i="23"/>
  <c r="D5" i="23"/>
  <c r="P19" i="66"/>
  <c r="Q19" i="66" s="1"/>
  <c r="E12" i="61"/>
  <c r="E32" i="61" s="1"/>
  <c r="P15" i="74"/>
  <c r="G12" i="61"/>
  <c r="H7" i="61"/>
  <c r="K6" i="75"/>
  <c r="M6" i="75" s="1"/>
  <c r="O6" i="75" s="1"/>
  <c r="I6" i="75"/>
  <c r="L3" i="74"/>
  <c r="J3" i="74"/>
  <c r="G27" i="57"/>
  <c r="H23" i="57"/>
  <c r="F29" i="66"/>
  <c r="E29" i="66"/>
  <c r="O14" i="66"/>
  <c r="N17" i="70"/>
  <c r="B11" i="69" s="1"/>
  <c r="D8" i="70"/>
  <c r="I13" i="75"/>
  <c r="K13" i="75"/>
  <c r="M13" i="75" s="1"/>
  <c r="O13" i="75" s="1"/>
  <c r="K14" i="75"/>
  <c r="M14" i="75" s="1"/>
  <c r="O14" i="75" s="1"/>
  <c r="I14" i="75"/>
  <c r="D52" i="70"/>
  <c r="N53" i="70"/>
  <c r="D17" i="69" s="1"/>
  <c r="D22" i="69" s="1"/>
  <c r="I17" i="75"/>
  <c r="K17" i="75"/>
  <c r="M17" i="75" s="1"/>
  <c r="O17" i="75" s="1"/>
  <c r="D6" i="42"/>
  <c r="E8" i="42"/>
  <c r="E19" i="42"/>
  <c r="H27" i="57"/>
  <c r="F8" i="61"/>
  <c r="F12" i="61" s="1"/>
  <c r="H8" i="61"/>
  <c r="B29" i="66"/>
  <c r="I8" i="75"/>
  <c r="K8" i="75"/>
  <c r="M8" i="75" s="1"/>
  <c r="O8" i="75" s="1"/>
  <c r="O28" i="66"/>
  <c r="B14" i="69"/>
  <c r="E22" i="75"/>
  <c r="E32" i="75" s="1"/>
  <c r="G32" i="75" s="1"/>
  <c r="I32" i="75" s="1"/>
  <c r="F15" i="74"/>
  <c r="H15" i="74"/>
  <c r="J15" i="74" s="1"/>
  <c r="F11" i="61"/>
  <c r="O18" i="66"/>
  <c r="I5" i="75"/>
  <c r="K5" i="75"/>
  <c r="G22" i="75"/>
  <c r="P6" i="66"/>
  <c r="Q6" i="66" s="1"/>
  <c r="B15" i="77"/>
  <c r="B14" i="77" s="1"/>
  <c r="B12" i="77"/>
  <c r="B11" i="77" s="1"/>
  <c r="B8" i="77"/>
  <c r="D9" i="62"/>
  <c r="D7" i="62" s="1"/>
  <c r="C32" i="75"/>
  <c r="D50" i="70" s="1"/>
  <c r="D29" i="66"/>
  <c r="I30" i="75"/>
  <c r="G30" i="75"/>
  <c r="N32" i="75"/>
  <c r="C17" i="62"/>
  <c r="J14" i="59"/>
  <c r="F14" i="59"/>
  <c r="G14" i="59"/>
  <c r="M14" i="59"/>
  <c r="L14" i="59"/>
  <c r="E14" i="59"/>
  <c r="D22" i="23"/>
  <c r="D23" i="23" s="1"/>
  <c r="E23" i="23" s="1"/>
  <c r="Q26" i="66"/>
  <c r="N9" i="70"/>
  <c r="B8" i="69" s="1"/>
  <c r="E4" i="59"/>
  <c r="I4" i="59"/>
  <c r="K4" i="59"/>
  <c r="L4" i="59"/>
  <c r="N55" i="70"/>
  <c r="I17" i="72"/>
  <c r="Q7" i="66"/>
  <c r="B8" i="78"/>
  <c r="D51" i="70" s="1"/>
  <c r="N51" i="70" s="1"/>
  <c r="E7" i="42"/>
  <c r="F30" i="61"/>
  <c r="D17" i="62" l="1"/>
  <c r="N20" i="70"/>
  <c r="D9" i="69" s="1"/>
  <c r="D7" i="69" s="1"/>
  <c r="D13" i="69" s="1"/>
  <c r="D15" i="69" s="1"/>
  <c r="K8" i="73"/>
  <c r="S22" i="75"/>
  <c r="O13" i="59"/>
  <c r="O12" i="59"/>
  <c r="D13" i="62"/>
  <c r="D10" i="62" s="1"/>
  <c r="D6" i="62" s="1"/>
  <c r="D4" i="62" s="1"/>
  <c r="E12" i="42"/>
  <c r="D9" i="42"/>
  <c r="E9" i="42" s="1"/>
  <c r="O15" i="59"/>
  <c r="F30" i="70"/>
  <c r="P25" i="66"/>
  <c r="Q25" i="66"/>
  <c r="D63" i="70"/>
  <c r="D26" i="23" s="1"/>
  <c r="D25" i="23" s="1"/>
  <c r="E25" i="23" s="1"/>
  <c r="O4" i="59"/>
  <c r="B7" i="69"/>
  <c r="B13" i="69" s="1"/>
  <c r="B15" i="69" s="1"/>
  <c r="K32" i="75"/>
  <c r="M32" i="75" s="1"/>
  <c r="O32" i="75" s="1"/>
  <c r="P22" i="66"/>
  <c r="Q22" i="66"/>
  <c r="C6" i="62"/>
  <c r="C4" i="62" s="1"/>
  <c r="C59" i="62" s="1"/>
  <c r="O3" i="59"/>
  <c r="D16" i="42"/>
  <c r="E16" i="42" s="1"/>
  <c r="E17" i="42"/>
  <c r="N50" i="70"/>
  <c r="D48" i="70"/>
  <c r="O14" i="59"/>
  <c r="N30" i="70"/>
  <c r="F29" i="70"/>
  <c r="N8" i="70"/>
  <c r="D7" i="70"/>
  <c r="K2" i="59"/>
  <c r="G2" i="59"/>
  <c r="D2" i="59"/>
  <c r="H2" i="59"/>
  <c r="L2" i="59"/>
  <c r="J2" i="59"/>
  <c r="E2" i="59"/>
  <c r="N2" i="59"/>
  <c r="B10" i="59"/>
  <c r="M2" i="59"/>
  <c r="F2" i="59"/>
  <c r="C2" i="59"/>
  <c r="I2" i="59"/>
  <c r="P18" i="66"/>
  <c r="Q18" i="66" s="1"/>
  <c r="N63" i="70"/>
  <c r="B23" i="69" s="1"/>
  <c r="D60" i="70"/>
  <c r="D30" i="69"/>
  <c r="D25" i="69"/>
  <c r="D26" i="69" s="1"/>
  <c r="L15" i="74"/>
  <c r="M5" i="75"/>
  <c r="K22" i="75"/>
  <c r="P28" i="66"/>
  <c r="Q28" i="66" s="1"/>
  <c r="B30" i="69"/>
  <c r="E6" i="42"/>
  <c r="N52" i="70"/>
  <c r="H12" i="61"/>
  <c r="G32" i="61"/>
  <c r="H30" i="23"/>
  <c r="K30" i="75"/>
  <c r="E5" i="23"/>
  <c r="D37" i="62"/>
  <c r="D36" i="62" s="1"/>
  <c r="D35" i="62" s="1"/>
  <c r="D34" i="62" s="1"/>
  <c r="S32" i="75"/>
  <c r="F5" i="59"/>
  <c r="M5" i="59"/>
  <c r="K5" i="59"/>
  <c r="G5" i="59"/>
  <c r="I5" i="59"/>
  <c r="J5" i="59"/>
  <c r="D5" i="59"/>
  <c r="E5" i="59"/>
  <c r="H5" i="59"/>
  <c r="C5" i="59"/>
  <c r="N5" i="59"/>
  <c r="L5" i="59"/>
  <c r="I22" i="75"/>
  <c r="B33" i="69"/>
  <c r="D33" i="69" s="1"/>
  <c r="B31" i="69"/>
  <c r="D31" i="69" s="1"/>
  <c r="P14" i="66"/>
  <c r="Q14" i="66" s="1"/>
  <c r="B29" i="69" l="1"/>
  <c r="B32" i="69" s="1"/>
  <c r="B34" i="69" s="1"/>
  <c r="L10" i="59"/>
  <c r="D5" i="62"/>
  <c r="D5" i="42"/>
  <c r="E5" i="42" s="1"/>
  <c r="M10" i="59"/>
  <c r="J10" i="59"/>
  <c r="G10" i="59"/>
  <c r="C5" i="62"/>
  <c r="Q29" i="66"/>
  <c r="O5" i="59"/>
  <c r="M30" i="75"/>
  <c r="O30" i="75" s="1"/>
  <c r="I10" i="59"/>
  <c r="K10" i="59"/>
  <c r="N29" i="70"/>
  <c r="F36" i="70"/>
  <c r="P29" i="66"/>
  <c r="O29" i="66"/>
  <c r="C17" i="59"/>
  <c r="D17" i="59"/>
  <c r="E17" i="59"/>
  <c r="L17" i="59"/>
  <c r="F17" i="59"/>
  <c r="H17" i="59"/>
  <c r="I17" i="59"/>
  <c r="M17" i="59"/>
  <c r="K17" i="59"/>
  <c r="N17" i="59"/>
  <c r="G17" i="59"/>
  <c r="J17" i="59"/>
  <c r="O5" i="75"/>
  <c r="O22" i="75" s="1"/>
  <c r="M22" i="75"/>
  <c r="F18" i="59"/>
  <c r="N18" i="59"/>
  <c r="G18" i="59"/>
  <c r="I18" i="59"/>
  <c r="C18" i="59"/>
  <c r="M18" i="59"/>
  <c r="J18" i="59"/>
  <c r="L18" i="59"/>
  <c r="E18" i="59"/>
  <c r="K18" i="59"/>
  <c r="H18" i="59"/>
  <c r="D18" i="59"/>
  <c r="O2" i="59"/>
  <c r="C10" i="59"/>
  <c r="N10" i="59"/>
  <c r="H10" i="59"/>
  <c r="D36" i="70"/>
  <c r="N7" i="70"/>
  <c r="F32" i="61"/>
  <c r="H32" i="61"/>
  <c r="D27" i="42"/>
  <c r="E27" i="42" s="1"/>
  <c r="D59" i="62"/>
  <c r="F10" i="59"/>
  <c r="E10" i="59"/>
  <c r="D10" i="59"/>
  <c r="N60" i="70"/>
  <c r="D59" i="70"/>
  <c r="N59" i="70" s="1"/>
  <c r="D43" i="70"/>
  <c r="N48" i="70"/>
  <c r="B21" i="69" s="1"/>
  <c r="B22" i="69" s="1"/>
  <c r="D16" i="23"/>
  <c r="O17" i="59" l="1"/>
  <c r="E16" i="23"/>
  <c r="D17" i="23"/>
  <c r="N36" i="70"/>
  <c r="O10" i="59"/>
  <c r="O18" i="59"/>
  <c r="D29" i="69"/>
  <c r="D32" i="69" s="1"/>
  <c r="D34" i="69" s="1"/>
  <c r="B25" i="69"/>
  <c r="B26" i="69" s="1"/>
  <c r="N43" i="70"/>
  <c r="D42" i="70"/>
  <c r="G16" i="59"/>
  <c r="G19" i="59" s="1"/>
  <c r="G21" i="59" s="1"/>
  <c r="J16" i="59"/>
  <c r="J19" i="59" s="1"/>
  <c r="J21" i="59" s="1"/>
  <c r="M16" i="59"/>
  <c r="M19" i="59" s="1"/>
  <c r="M21" i="59" s="1"/>
  <c r="I16" i="59"/>
  <c r="I19" i="59" s="1"/>
  <c r="I21" i="59" s="1"/>
  <c r="F16" i="59"/>
  <c r="F19" i="59" s="1"/>
  <c r="F21" i="59" s="1"/>
  <c r="E16" i="59"/>
  <c r="E19" i="59" s="1"/>
  <c r="E21" i="59" s="1"/>
  <c r="K16" i="59"/>
  <c r="K19" i="59" s="1"/>
  <c r="K21" i="59" s="1"/>
  <c r="H16" i="59"/>
  <c r="H19" i="59" s="1"/>
  <c r="H21" i="59" s="1"/>
  <c r="N16" i="59"/>
  <c r="N19" i="59" s="1"/>
  <c r="N21" i="59" s="1"/>
  <c r="D16" i="59"/>
  <c r="D19" i="59" s="1"/>
  <c r="D21" i="59" s="1"/>
  <c r="C16" i="59"/>
  <c r="L16" i="59"/>
  <c r="L19" i="59" s="1"/>
  <c r="L21" i="59" s="1"/>
  <c r="B19" i="59"/>
  <c r="B21" i="59" s="1"/>
  <c r="L22" i="59" l="1"/>
  <c r="M22" i="59" s="1"/>
  <c r="O16" i="59"/>
  <c r="C19" i="59"/>
  <c r="D65" i="70"/>
  <c r="D67" i="70" s="1"/>
  <c r="N42" i="70"/>
  <c r="F22" i="59"/>
  <c r="G22" i="59" s="1"/>
  <c r="H22" i="59" s="1"/>
  <c r="E17" i="23"/>
  <c r="D27" i="23"/>
  <c r="E27" i="23" s="1"/>
  <c r="O19" i="59" l="1"/>
  <c r="C21" i="59"/>
  <c r="O21" i="59" s="1"/>
  <c r="N65" i="70"/>
  <c r="N68" i="70" s="1"/>
</calcChain>
</file>

<file path=xl/comments1.xml><?xml version="1.0" encoding="utf-8"?>
<comments xmlns="http://schemas.openxmlformats.org/spreadsheetml/2006/main">
  <authors>
    <author>Fülöp Györgyné</author>
  </authors>
  <commentList>
    <comment ref="C26" authorId="0" shapeId="0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6" authorId="0" shapeId="0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 shapeId="0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6" authorId="0" shapeId="0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 shapeId="0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C27" authorId="0" shapeId="0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D27" authorId="0" shapeId="0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E27" authorId="0" shapeId="0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F27" authorId="0" shapeId="0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G27" authorId="0" shapeId="0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</commentList>
</comments>
</file>

<file path=xl/comments2.xml><?xml version="1.0" encoding="utf-8"?>
<comments xmlns="http://schemas.openxmlformats.org/spreadsheetml/2006/main">
  <authors>
    <author>Tamas</author>
  </authors>
  <commentList>
    <comment ref="M24" authorId="0" shapeId="0">
      <text>
        <r>
          <rPr>
            <b/>
            <sz val="8"/>
            <color indexed="81"/>
            <rFont val="Tahoma"/>
            <family val="2"/>
            <charset val="238"/>
          </rPr>
          <t>tothkatalin:</t>
        </r>
        <r>
          <rPr>
            <sz val="8"/>
            <color indexed="81"/>
            <rFont val="Tahoma"/>
            <family val="2"/>
            <charset val="238"/>
          </rPr>
          <t xml:space="preserve">
utolsó részlet tartalmazza a 2012.12.31-i deviza átértékelést</t>
        </r>
      </text>
    </comment>
  </commentList>
</comments>
</file>

<file path=xl/sharedStrings.xml><?xml version="1.0" encoding="utf-8"?>
<sst xmlns="http://schemas.openxmlformats.org/spreadsheetml/2006/main" count="795" uniqueCount="562">
  <si>
    <t>Vízügyi építési alap bevételei</t>
  </si>
  <si>
    <t>Felhalmozási célú pénzeszköz átvétel összesen(+8+…11):</t>
  </si>
  <si>
    <t>Személyi juttatások</t>
  </si>
  <si>
    <t>Megnevezés</t>
  </si>
  <si>
    <t>Összesen</t>
  </si>
  <si>
    <t>sorszám</t>
  </si>
  <si>
    <t>Gépjárműadó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</si>
  <si>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</si>
  <si>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</si>
  <si>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</si>
  <si>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</si>
  <si>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</si>
  <si>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Sorszám</t>
  </si>
  <si>
    <t>MEGNEVEZÉS</t>
  </si>
  <si>
    <t>Változás</t>
  </si>
  <si>
    <t>%-ban</t>
  </si>
  <si>
    <t>I.</t>
  </si>
  <si>
    <t>MŰKÖDÉSI BEVÉTELEK</t>
  </si>
  <si>
    <t>II.</t>
  </si>
  <si>
    <t>III.</t>
  </si>
  <si>
    <t>IV.</t>
  </si>
  <si>
    <t>fő</t>
  </si>
  <si>
    <t>I</t>
  </si>
  <si>
    <t xml:space="preserve">MŰKÖDÉSI KIADÁSOK </t>
  </si>
  <si>
    <t>Dologi kiadások</t>
  </si>
  <si>
    <t>FELHALMOZÁSI KIADÁSOK:</t>
  </si>
  <si>
    <t>FELHALMOZÁSI KIADÁSOK ÖSSZESEN (1……3):</t>
  </si>
  <si>
    <t>KIADÁSOK MINDÖSSZESEN:</t>
  </si>
  <si>
    <t>Projekt megnevezése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</si>
  <si>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</si>
  <si>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</si>
  <si>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</si>
  <si>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charset val="238"/>
      </rPr>
      <t>(Hitel törlesztés 19 680 eFT)</t>
    </r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</si>
  <si>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</si>
  <si>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</si>
  <si>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</si>
  <si>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</si>
  <si>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</si>
  <si>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</si>
  <si>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>MŰKÖDÉSI KIADÁSOK ÖSSZESEN (1…..7):</t>
  </si>
  <si>
    <t>Pénzmaradvány bevétele:</t>
  </si>
  <si>
    <t>BEVÉTELEK MINDÖSSZESEN(I+II+III)</t>
  </si>
  <si>
    <t>Változás %-ban</t>
  </si>
  <si>
    <t>Általános Iskola</t>
  </si>
  <si>
    <t>Rozmaring u</t>
  </si>
  <si>
    <r>
      <t>Ber.c.tám.ért.Bev</t>
    </r>
    <r>
      <rPr>
        <b/>
        <sz val="8"/>
        <rFont val="Arial CE"/>
        <charset val="238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</si>
  <si>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</si>
  <si>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</si>
  <si>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</si>
  <si>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Összeg (Ezer Ft-ban)</t>
  </si>
  <si>
    <t xml:space="preserve">  Ellátottak térítési díj méltányossági alapon történő elengedése</t>
  </si>
  <si>
    <t xml:space="preserve">  Kártérítés méltányossági alapon történő elengedése</t>
  </si>
  <si>
    <t xml:space="preserve">  Lakásépítéshez nyújtott kölcsönök</t>
  </si>
  <si>
    <t xml:space="preserve">  Lakásfelújításhoz nyújtott kölcsönök</t>
  </si>
  <si>
    <t>Helyi adóknál nyújtott kedvezmények, ebből</t>
  </si>
  <si>
    <t xml:space="preserve">    - Telekadó</t>
  </si>
  <si>
    <t xml:space="preserve">          = Kedvezmények, mentességek miatt</t>
  </si>
  <si>
    <t xml:space="preserve">          = Övezeti besorolás miatt</t>
  </si>
  <si>
    <t xml:space="preserve">    - Építményadó</t>
  </si>
  <si>
    <t xml:space="preserve">         = Kedvezmények, mentességek miatt</t>
  </si>
  <si>
    <t xml:space="preserve">         = Övezeti besorolás miatt</t>
  </si>
  <si>
    <t>Gépjárműadónál biztosított kedvezmények</t>
  </si>
  <si>
    <t xml:space="preserve">  Helyiségek hasznosításából származó bevételből nyújtott kedvezmény</t>
  </si>
  <si>
    <t xml:space="preserve">  Eszközök hasznosításából származó bevételből nyújtott kedvezmény</t>
  </si>
  <si>
    <t xml:space="preserve">  Egyéb nyújtott kedvezmény </t>
  </si>
  <si>
    <t>Összes közvezetett támogatás:</t>
  </si>
  <si>
    <t>Kódszám (kulcsszám)</t>
  </si>
  <si>
    <t>Létszám</t>
  </si>
  <si>
    <t>(besorolási  osztály és fizetési fokozat)</t>
  </si>
  <si>
    <t>Hivatal</t>
  </si>
  <si>
    <t>Öregiskola Könyvtár</t>
  </si>
  <si>
    <t>000030</t>
  </si>
  <si>
    <t>polgármester, főpolgármester</t>
  </si>
  <si>
    <t>jegyző</t>
  </si>
  <si>
    <t>1-2. pozíció: 14</t>
  </si>
  <si>
    <t>I.  besorolási osztály összesen</t>
  </si>
  <si>
    <t>II. besorolási osztály összesen</t>
  </si>
  <si>
    <t>ÖNKORMÁNYZATI KÖZTISZTVISELŐK ÖSSZESEN: (70+...+76+78+…+85+87+88)</t>
  </si>
  <si>
    <t>igazgató (főigazgató)</t>
  </si>
  <si>
    <t>igazgatóhelyettes (főigazgató-helyettes)</t>
  </si>
  <si>
    <t>301010 - 301140</t>
  </si>
  <si>
    <t>"A" fizetési  osztály összesen</t>
  </si>
  <si>
    <t>302010 - 302140</t>
  </si>
  <si>
    <t>"B" fizetési osztály összesen</t>
  </si>
  <si>
    <t>303010 - 303140</t>
  </si>
  <si>
    <t>"C" fizetési osztály  összesen</t>
  </si>
  <si>
    <t>304010 - 304140</t>
  </si>
  <si>
    <t>"D" fizetési osztály  öszzesen</t>
  </si>
  <si>
    <t>306010 - 306140</t>
  </si>
  <si>
    <t>"F" fizetési osztály  összesen</t>
  </si>
  <si>
    <t>307010 - 307140</t>
  </si>
  <si>
    <t>"G" fizetési osztály  összesen</t>
  </si>
  <si>
    <t>308010 - 308140</t>
  </si>
  <si>
    <t>"H" fizetési osztály  összesen</t>
  </si>
  <si>
    <t>KÖZALKALMAZOTTAK ÖSSZESEN:  (90+...+110)</t>
  </si>
  <si>
    <t>850510, 850530,</t>
  </si>
  <si>
    <t>fizikai alkalmazott</t>
  </si>
  <si>
    <t>közhasznú és közmunkát végző</t>
  </si>
  <si>
    <t>EGYÉB BÉRRENDSZER ÖSSZESEN: (144+152)</t>
  </si>
  <si>
    <t>I.+II. MINDÖSSZESEN: (154+160)</t>
  </si>
  <si>
    <t>Felhalmozási bevételek</t>
  </si>
  <si>
    <t>BEVÉTELEK MEGNEVEZÉSE</t>
  </si>
  <si>
    <t>BEVÉTELEK ÖSSZESEN:</t>
  </si>
  <si>
    <t>KIADÁSOK MEGNEVEZÉSE</t>
  </si>
  <si>
    <t>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</si>
  <si>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</si>
  <si>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</si>
  <si>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</si>
  <si>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</si>
  <si>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</si>
  <si>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</si>
  <si>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</si>
  <si>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</si>
  <si>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</si>
  <si>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</si>
  <si>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</si>
  <si>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</si>
  <si>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</si>
  <si>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2011.évi 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</si>
  <si>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</si>
  <si>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</si>
  <si>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</si>
  <si>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</si>
  <si>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</si>
  <si>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</si>
  <si>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</si>
  <si>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</si>
  <si>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</si>
  <si>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</si>
  <si>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</si>
  <si>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</si>
  <si>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összesen (eFt)</t>
  </si>
  <si>
    <t>5=4/3 %</t>
  </si>
  <si>
    <t>Egyenleg</t>
  </si>
  <si>
    <t>Intézményi finanszírozás</t>
  </si>
  <si>
    <t>Szociális kiadások</t>
  </si>
  <si>
    <t>szakfeladat</t>
  </si>
  <si>
    <t xml:space="preserve">                                                          </t>
  </si>
  <si>
    <t>sorsz.</t>
  </si>
  <si>
    <t>Támogatott megnevezése</t>
  </si>
  <si>
    <t>Nagykovácsi Készenléti Szolgálat</t>
  </si>
  <si>
    <t>Fejér György Alapítvány</t>
  </si>
  <si>
    <t>Nagykovácsi Sport Egyesület</t>
  </si>
  <si>
    <t>eredeti</t>
  </si>
  <si>
    <t>Nagykovácsi Alapfokú Művészeti Iskola</t>
  </si>
  <si>
    <t>Önkormányzat</t>
  </si>
  <si>
    <t>Zsiroshegy I.ütem csatorna építés</t>
  </si>
  <si>
    <t>Induló hitel összeg:125 280 eFt</t>
  </si>
  <si>
    <t>5 év törlesztés</t>
  </si>
  <si>
    <t>Éves törl.össz.:</t>
  </si>
  <si>
    <t>Felszini vízelvezetés</t>
  </si>
  <si>
    <t>Öreg Iskola felújítása</t>
  </si>
  <si>
    <t>Útépítések</t>
  </si>
  <si>
    <t>XXI.sz.Iskola</t>
  </si>
  <si>
    <t xml:space="preserve">Kötvény kibocsátás </t>
  </si>
  <si>
    <t>Éves kötelezettség:</t>
  </si>
  <si>
    <t>Ámr. 28. §  a) pontja alapján összesen:</t>
  </si>
  <si>
    <t>Ámr. 28. §  b) pontja alapján összesen:</t>
  </si>
  <si>
    <t>Ámr. 28.§  c) pontja alapján összesen:</t>
  </si>
  <si>
    <t>Ámr. 28. § d) pontja alapján összesen:</t>
  </si>
  <si>
    <t>FELHALMOZÁSI BEVÉTELEK</t>
  </si>
  <si>
    <t>Működési bevételek összesen</t>
  </si>
  <si>
    <t>Felhalmozási bevételek összesen</t>
  </si>
  <si>
    <t xml:space="preserve">Önkormányzati működési bevételek összesen: </t>
  </si>
  <si>
    <t xml:space="preserve">Önkormányzati felhalm. bevételek összesen: </t>
  </si>
  <si>
    <t>MŰKÖDÉSI KIADÁSOK</t>
  </si>
  <si>
    <t>FELHALMOZÁSI KIADÁSOK</t>
  </si>
  <si>
    <t>Felújítások</t>
  </si>
  <si>
    <t>Beruházások</t>
  </si>
  <si>
    <t>Működési kiadások összesen</t>
  </si>
  <si>
    <t>Felhalmozási kiadások összesen</t>
  </si>
  <si>
    <t>Polgármesteri Hivatal</t>
  </si>
  <si>
    <t>Kispatak Óvoda</t>
  </si>
  <si>
    <t>Öregiskola</t>
  </si>
  <si>
    <t>Jogcím</t>
  </si>
  <si>
    <t>Óvoda</t>
  </si>
  <si>
    <t xml:space="preserve">Összesen: </t>
  </si>
  <si>
    <t>TELJESÍTÉS</t>
  </si>
  <si>
    <t>TELJESÍTÉS %
teljesítés/nettó</t>
  </si>
  <si>
    <t>4.sz. mód</t>
  </si>
  <si>
    <t>4.sz módosított</t>
  </si>
  <si>
    <t>5.sz. mód</t>
  </si>
  <si>
    <t>5.sz módosított</t>
  </si>
  <si>
    <t>5=4/3 (%)</t>
  </si>
  <si>
    <t>1.sz. mód.</t>
  </si>
  <si>
    <t>1.sz. módosítás után</t>
  </si>
  <si>
    <t>Félévi mód.</t>
  </si>
  <si>
    <t>Félévi (3.sz) módosított előir.</t>
  </si>
  <si>
    <t>Teljesítés</t>
  </si>
  <si>
    <t>Teljesítés %</t>
  </si>
  <si>
    <t>2.sz. mód.</t>
  </si>
  <si>
    <t>2.sz. módosítás után</t>
  </si>
  <si>
    <t>4.sz. mód.</t>
  </si>
  <si>
    <t>4.sz. módosítás után</t>
  </si>
  <si>
    <t>5.sz. mód.</t>
  </si>
  <si>
    <t>5.sz. módosítás után</t>
  </si>
  <si>
    <t>Háromnegyedéves</t>
  </si>
  <si>
    <t>Maradvány</t>
  </si>
  <si>
    <t>tartalékból</t>
  </si>
  <si>
    <t>1.sz mód.</t>
  </si>
  <si>
    <t>1.sz. módosított</t>
  </si>
  <si>
    <t>Félévi módosított</t>
  </si>
  <si>
    <t>TELJESÍTÉS %</t>
  </si>
  <si>
    <t>2.sz mód.</t>
  </si>
  <si>
    <t>2.sz. módosított</t>
  </si>
  <si>
    <t>4.sz mód.</t>
  </si>
  <si>
    <t>4.sz. módosított</t>
  </si>
  <si>
    <t>5.sz mód.</t>
  </si>
  <si>
    <t>5.sz. módosított</t>
  </si>
  <si>
    <t>Pest-Megyei Rendőrkapitányság KMB támogatása</t>
  </si>
  <si>
    <t>Működési célú pénzeszköz átadás ÖSSZESEN:</t>
  </si>
  <si>
    <t>12=2…11</t>
  </si>
  <si>
    <t>Nagykovácsi összesen</t>
  </si>
  <si>
    <t>Phivatal</t>
  </si>
  <si>
    <t>ÖSSZESÍTÉS</t>
  </si>
  <si>
    <t>Eredeti</t>
  </si>
  <si>
    <t>működési kiadás</t>
  </si>
  <si>
    <t>felhalmozási kiadás</t>
  </si>
  <si>
    <t>finanszirozás</t>
  </si>
  <si>
    <t>halmozott bevétel</t>
  </si>
  <si>
    <t>halmozott kiadás</t>
  </si>
  <si>
    <t>támogatás -</t>
  </si>
  <si>
    <t>támogatás</t>
  </si>
  <si>
    <t>halmozódásmentes bevétel</t>
  </si>
  <si>
    <t>halmozódásmentes kiadás</t>
  </si>
  <si>
    <t>2014.évi er. e.i.</t>
  </si>
  <si>
    <t>me. egység x mutató</t>
  </si>
  <si>
    <t>II.1.(1) óvodapedagógusok elismert létszáma  8 hónapra</t>
  </si>
  <si>
    <t>II.1.(2) óvodapedagógusok munkáját közvetlenül segítők 8 hónapra</t>
  </si>
  <si>
    <t>18,0 fő</t>
  </si>
  <si>
    <t>II.1.(1) óvodapedagógusok elismert létszáma  4 hónapra</t>
  </si>
  <si>
    <t>II.1.(3) óvodapedagógusok elismert létszáma pótlólagos összeg</t>
  </si>
  <si>
    <t>II.1.(2) óvodapedagógusok munkáját közvetlenül segítők 4 hónapra</t>
  </si>
  <si>
    <t>II.2.(8) gyermekek teljes körü óvodai nevelése 8 hónapra</t>
  </si>
  <si>
    <t>II.2.(8) gyermekek teljes körü óvodai nevelése 4 hónapra</t>
  </si>
  <si>
    <t>III.3.c (1) Szociális étkeztetés</t>
  </si>
  <si>
    <t>ÖNKORMÁNYZAT</t>
  </si>
  <si>
    <t>Általános tartalék összesen</t>
  </si>
  <si>
    <t>ÖNKORMÁNYZAT TARTALÉKAI ÖSSZESEN</t>
  </si>
  <si>
    <t>Feladat megnevezése</t>
  </si>
  <si>
    <t>Gyakornok fizetési osztály</t>
  </si>
  <si>
    <t>Ped. 1. fizetési osztály</t>
  </si>
  <si>
    <t>Ped. 2. fizetési osztály</t>
  </si>
  <si>
    <t>30610 - 306140</t>
  </si>
  <si>
    <t>Települési önkormányzat könyvtári és közművelődési támogatása</t>
  </si>
  <si>
    <t>2013. évi nyitó:4 693 eFt</t>
  </si>
  <si>
    <t>2013. évi nyitó: 3 136 eFt</t>
  </si>
  <si>
    <t>2013. évi nyitó: 11 680 eFt</t>
  </si>
  <si>
    <t>2013. évi nyitó: 2 705 eFt</t>
  </si>
  <si>
    <t>2013. évi nyitó: 323 242 eFt</t>
  </si>
  <si>
    <t>MFB ref. Hitel</t>
  </si>
  <si>
    <t>2013. évi nyitó: 31 972 eFt</t>
  </si>
  <si>
    <t>2014.évi adósság-</t>
  </si>
  <si>
    <t>2013.12.31-i záró</t>
  </si>
  <si>
    <t>( e Ft)</t>
  </si>
  <si>
    <t>konszolidáció (e Ft)</t>
  </si>
  <si>
    <t>jegyzői keret</t>
  </si>
  <si>
    <t>polgármesteri keret</t>
  </si>
  <si>
    <t>általános tartalék</t>
  </si>
  <si>
    <t>Temetőben végzett felújítások</t>
  </si>
  <si>
    <t>Református imaház</t>
  </si>
  <si>
    <t>Civil Alap</t>
  </si>
  <si>
    <t>Német Nemzetiségi Önkormányzat</t>
  </si>
  <si>
    <t>Római Katolikus Egyházközség</t>
  </si>
  <si>
    <t>Peter Cerny Alapítvány</t>
  </si>
  <si>
    <t>Működési bevételek</t>
  </si>
  <si>
    <t>Közhatalmi bevételek</t>
  </si>
  <si>
    <t>MŰKÖDÉSI KÖLTSÉGVETÉS BEVÉTELEI</t>
  </si>
  <si>
    <t>Közalkalmazottak béren kívüli juttatása</t>
  </si>
  <si>
    <t>Összeg</t>
  </si>
  <si>
    <t>Szociális hozzájárulási adó</t>
  </si>
  <si>
    <t>Közalkalmazottak béren kívüli juttatása után EHO</t>
  </si>
  <si>
    <t>Közalkalmazottak béren kívüli juttatása után SZJA</t>
  </si>
  <si>
    <t>Pénzeszköz átadások</t>
  </si>
  <si>
    <t>Állami támogatásból nem fedezett szociális ellátások</t>
  </si>
  <si>
    <t>Az önkormányzat önként vállalt feladatainak részletezése</t>
  </si>
  <si>
    <t>felhalmozási bevétel</t>
  </si>
  <si>
    <t>működési bevétel</t>
  </si>
  <si>
    <t xml:space="preserve">Önkormányzati halmozott műk. kiadások összesen: </t>
  </si>
  <si>
    <t xml:space="preserve">Önkormányzati halmozott felhalm. kiadások összesen: </t>
  </si>
  <si>
    <t xml:space="preserve">Önkormányzati halm.mentes működési kiad. össz: </t>
  </si>
  <si>
    <t xml:space="preserve">Önkormányzati halm.mentes felhalmozási kiad. össz: </t>
  </si>
  <si>
    <t>bemutatása mérlegszerűen, ezer forintban</t>
  </si>
  <si>
    <t>Nagykovácsi Nagyközség Önkormányzat és intézményeinek összesített</t>
  </si>
  <si>
    <t>működési és felhalmozási célú bevételi és kiadási előirányzatainak</t>
  </si>
  <si>
    <t>1.sz. mód</t>
  </si>
  <si>
    <t>1.sz módosított</t>
  </si>
  <si>
    <t>ezer forintban</t>
  </si>
  <si>
    <t>Bevételi előirányzatok megnevezése</t>
  </si>
  <si>
    <t>Rovat száma
2015</t>
  </si>
  <si>
    <t>Bölcsőde</t>
  </si>
  <si>
    <t>2015. évi előirányzat</t>
  </si>
  <si>
    <t>KÖLTSÉGVETÉSI BEVÉTELEK</t>
  </si>
  <si>
    <t>B1-B7</t>
  </si>
  <si>
    <t>I. Működési költségvetés összesen</t>
  </si>
  <si>
    <t>1. Működési célú támogatások államháztartáson belülről</t>
  </si>
  <si>
    <t>B1</t>
  </si>
  <si>
    <t>Önkormányzatok működési támogatásai</t>
  </si>
  <si>
    <t>B11</t>
  </si>
  <si>
    <t>Egyéb működési c.támogatások államháztartáson belülről</t>
  </si>
  <si>
    <t>B16</t>
  </si>
  <si>
    <t xml:space="preserve">2. Közhatalmi bevételek  </t>
  </si>
  <si>
    <t>B3</t>
  </si>
  <si>
    <t>Helyi adók</t>
  </si>
  <si>
    <t>B34,351,355</t>
  </si>
  <si>
    <t>Gépjárműadók</t>
  </si>
  <si>
    <t>B354</t>
  </si>
  <si>
    <t>Egyéb közhatalmi bevételek</t>
  </si>
  <si>
    <t>B36</t>
  </si>
  <si>
    <t>3. Működési bevételek</t>
  </si>
  <si>
    <t>B4</t>
  </si>
  <si>
    <t>4. Működési célú átvett pénzeszközök</t>
  </si>
  <si>
    <t>B6</t>
  </si>
  <si>
    <t>Egyéb működési célú átvett pénzeszközök</t>
  </si>
  <si>
    <t>B65</t>
  </si>
  <si>
    <t>II. Felhalmozási költségvetés  összesen</t>
  </si>
  <si>
    <t>1.Felhalmozási célú támogatások államháztartáson belülről</t>
  </si>
  <si>
    <t>B2</t>
  </si>
  <si>
    <t>Felhalmozási célú önkormányzati támogatások</t>
  </si>
  <si>
    <t>B21</t>
  </si>
  <si>
    <t>Egyéb felhalmozási c..támogatások államháztartáson belülről</t>
  </si>
  <si>
    <t>B25</t>
  </si>
  <si>
    <t>2. Felhalmozási bevételek</t>
  </si>
  <si>
    <t>B5</t>
  </si>
  <si>
    <t>Ingatlanok értékesítése</t>
  </si>
  <si>
    <t>B52</t>
  </si>
  <si>
    <t>Egyéb tárgyi eszközök értékesítése</t>
  </si>
  <si>
    <t>B53</t>
  </si>
  <si>
    <t>3. Felhalmozási célú átvett pénzeszközök</t>
  </si>
  <si>
    <t>B7</t>
  </si>
  <si>
    <t>Egyéb felhalmozási célú átvett pénzeszközök</t>
  </si>
  <si>
    <t>B75</t>
  </si>
  <si>
    <t>FINANSZÍROZÁSI BEVÉTELEK</t>
  </si>
  <si>
    <t>B8</t>
  </si>
  <si>
    <t>I. Belföldi finanszírozás bevételei</t>
  </si>
  <si>
    <t>B81</t>
  </si>
  <si>
    <t>1. Hitel-, kölcsönfelvétel pénzügyi vállalkozástól</t>
  </si>
  <si>
    <t>B811</t>
  </si>
  <si>
    <t>2. Belföldi értékpapírok bevételei</t>
  </si>
  <si>
    <t>B812</t>
  </si>
  <si>
    <t>3. Maradvány igénybevétele</t>
  </si>
  <si>
    <t>B813</t>
  </si>
  <si>
    <t>4. Központi, irányítószervi támogatás</t>
  </si>
  <si>
    <t>B816</t>
  </si>
  <si>
    <t>TÁRGYÉVI BEVÉTELEK ÖSSZESEN:</t>
  </si>
  <si>
    <t>Kiadási előirányzatok megnevezése</t>
  </si>
  <si>
    <t>KÖLTSÉGVETÉSI KIADÁSOK</t>
  </si>
  <si>
    <t>K1-K8</t>
  </si>
  <si>
    <t>1. Személyi juttatások</t>
  </si>
  <si>
    <t>K1</t>
  </si>
  <si>
    <t>2. Munkaadókat terhelő járulékok és szociális hozzájárulási adó</t>
  </si>
  <si>
    <t>K2</t>
  </si>
  <si>
    <t>3. Dologi  kiadások</t>
  </si>
  <si>
    <t>K3</t>
  </si>
  <si>
    <t>4. Ellátottak pénzbeli juttatásai</t>
  </si>
  <si>
    <t>K4</t>
  </si>
  <si>
    <t>5. Egyéb működési célú kiadások</t>
  </si>
  <si>
    <t>K5</t>
  </si>
  <si>
    <t>A helyi önkormányzatok előző évi elszámolásából származó kiadások</t>
  </si>
  <si>
    <t>K5021</t>
  </si>
  <si>
    <t>Egyéb működési célú támogatások államháztartáson kívülre</t>
  </si>
  <si>
    <t>K512</t>
  </si>
  <si>
    <t>Tartalékok</t>
  </si>
  <si>
    <t>K513</t>
  </si>
  <si>
    <t>II. Felhalmozási költségvetés összesen</t>
  </si>
  <si>
    <t>1. Beruházások</t>
  </si>
  <si>
    <t>K6</t>
  </si>
  <si>
    <t>2. Felújítások</t>
  </si>
  <si>
    <t>K7</t>
  </si>
  <si>
    <t>3. Egyéb felhalmozási célú kiadások</t>
  </si>
  <si>
    <t>K8</t>
  </si>
  <si>
    <t>Egyéb felhalmozási célú támogatások államháztartáson belülre</t>
  </si>
  <si>
    <t>K84</t>
  </si>
  <si>
    <t>Egyéb felhalmozási célú támogatások államháztartáson kívülre</t>
  </si>
  <si>
    <t>K89</t>
  </si>
  <si>
    <t>FINANSZÍROZÁSI KIADÁSOK</t>
  </si>
  <si>
    <t>K9</t>
  </si>
  <si>
    <t>I. Belföldi finanszírozás kiadásai</t>
  </si>
  <si>
    <t>K91</t>
  </si>
  <si>
    <t>1. Hitel-, kölcsöntörlesztés államháztartáson kívülre</t>
  </si>
  <si>
    <t>K911</t>
  </si>
  <si>
    <t>2. Belföldi értékpapírok kiadásai</t>
  </si>
  <si>
    <t>K912</t>
  </si>
  <si>
    <t>3. Központi, irányítószervi támogatás folyósítása</t>
  </si>
  <si>
    <t>K915</t>
  </si>
  <si>
    <t>TÁRGYÉVI  KIADÁSOK ÖSSZESEN:</t>
  </si>
  <si>
    <t>I.1.a  Önkormányzati hivatal működésének támogatása</t>
  </si>
  <si>
    <t>I.1.b Település-üzemeltetéshez kapcs. feladatellátás összesen</t>
  </si>
  <si>
    <t xml:space="preserve">     I.1.ba zöldterület gazdálkodással kapcs.feladatok</t>
  </si>
  <si>
    <t xml:space="preserve">     I.1.bb közvilágítás fenntartás támogatása</t>
  </si>
  <si>
    <t xml:space="preserve">     I.1.bc  köztemető fenntartással kapcs. feladatok</t>
  </si>
  <si>
    <t xml:space="preserve">     I.1.bd közutak fenntartásának támogatása</t>
  </si>
  <si>
    <t>I.1c. Egyéb önkormányzati feladatok támogatása</t>
  </si>
  <si>
    <t>I.1d. Lakott külterületel kapcsolatos feladatok támogatása</t>
  </si>
  <si>
    <t>I.1e. Üdülőhelyi feladatok támogatása</t>
  </si>
  <si>
    <t>I. A helyi önkormányzatok működésének általános támogatása</t>
  </si>
  <si>
    <t>II.5.(5) óvodapedagógusok minősítésből adódó többletbér</t>
  </si>
  <si>
    <t>II. Települési önkormányzatok egyes köznevelési feladatainak támogatása</t>
  </si>
  <si>
    <t>III.2 A települési önkormányzatok szociális feladatainak egyéb támogatása</t>
  </si>
  <si>
    <t>III. 5.a) A finanszírozás szempontjából elismert dolgozók bértámogatása</t>
  </si>
  <si>
    <t>III.5.b) Gyermekétkeztetés üzemeltetési támogatása</t>
  </si>
  <si>
    <t>III. Települési önkormányzatok szociális, gyermekjóléti és gyermekétkeztetési feladatainak feladatainak támogatása</t>
  </si>
  <si>
    <t>Működési célú támogatások államháztartáson belülről</t>
  </si>
  <si>
    <t xml:space="preserve">  B11</t>
  </si>
  <si>
    <t xml:space="preserve">  B16</t>
  </si>
  <si>
    <t xml:space="preserve">  B34,351,355</t>
  </si>
  <si>
    <t xml:space="preserve">  B354</t>
  </si>
  <si>
    <t xml:space="preserve">  B36</t>
  </si>
  <si>
    <t>Működési célú átvett pénzeszközök</t>
  </si>
  <si>
    <t xml:space="preserve">  B65</t>
  </si>
  <si>
    <t>FELHALMOZÁSI KÖLTSÉGVETÉS BEVÉTELEI</t>
  </si>
  <si>
    <t xml:space="preserve">  B21</t>
  </si>
  <si>
    <t xml:space="preserve">  B25</t>
  </si>
  <si>
    <t xml:space="preserve">  B53</t>
  </si>
  <si>
    <t xml:space="preserve">  B52</t>
  </si>
  <si>
    <t xml:space="preserve">  B75</t>
  </si>
  <si>
    <t>FINANSZIROZÁSI BEVÉTELEK</t>
  </si>
  <si>
    <t xml:space="preserve">  B813</t>
  </si>
  <si>
    <t>Önkormányzatok működési támogatása</t>
  </si>
  <si>
    <t>Egyéb működési célú támogatások áht.-n belülről</t>
  </si>
  <si>
    <t>Felhalmozási célú támogatások államháztartáson belülről</t>
  </si>
  <si>
    <t>Egyéb felhalmozási célú támogatások áht.-n belülről</t>
  </si>
  <si>
    <t>Felhalmozási célú átvett pénzeszközök</t>
  </si>
  <si>
    <t>2015.évi er. e.i.</t>
  </si>
  <si>
    <t>Bevételek összesen</t>
  </si>
  <si>
    <t>Kiadások összesen</t>
  </si>
  <si>
    <t xml:space="preserve">Felhalmozási célú támogatások: </t>
  </si>
  <si>
    <t>Felhalmozási célú támogatások összesen:</t>
  </si>
  <si>
    <t>FELHALMOZÁSI BEVÉTELEK MINDÖSSZESEN:</t>
  </si>
  <si>
    <t>K11</t>
  </si>
  <si>
    <t xml:space="preserve">     Foglakoztatottak személyi juttatásai</t>
  </si>
  <si>
    <t>K12</t>
  </si>
  <si>
    <t xml:space="preserve">     Külső személyi juttatások</t>
  </si>
  <si>
    <t>Munkaadókat terhelő járulékok és szociális hj. adó</t>
  </si>
  <si>
    <t>K31</t>
  </si>
  <si>
    <t>Készletbeszerzés</t>
  </si>
  <si>
    <t>K32</t>
  </si>
  <si>
    <t>Kommunikációs szolgáltatások</t>
  </si>
  <si>
    <t>K33</t>
  </si>
  <si>
    <t>Szolgáltatási kiadások</t>
  </si>
  <si>
    <t>K34</t>
  </si>
  <si>
    <t>Kiküldetések, reklám- és propagandakiadások</t>
  </si>
  <si>
    <t>K35</t>
  </si>
  <si>
    <t>Különféle befizetések és egyéb dologi kiadások</t>
  </si>
  <si>
    <t>Ellátottak pénzbeli juttatásai</t>
  </si>
  <si>
    <t>Egyéb működési célú kiadások</t>
  </si>
  <si>
    <t>Egyéb felhalmozási célú kiadások</t>
  </si>
  <si>
    <t>Finanszírozási kiadások</t>
  </si>
  <si>
    <t>Irányító szervi támogatás folyósítása</t>
  </si>
  <si>
    <t>Az Önkormányzat hitelállománya 0 Ft.</t>
  </si>
  <si>
    <t>Céltartalék összesen</t>
  </si>
  <si>
    <t>Bursa Hungarica</t>
  </si>
  <si>
    <t>Maradvány igénybevétele</t>
  </si>
  <si>
    <t>bevétel-kiadás</t>
  </si>
  <si>
    <t>Nagykovácsi Készenléti Szolgálat működési hozzájárulás</t>
  </si>
  <si>
    <t>Nagykovácsi Készenléti Szolgálat tűzoltó laktanya építéshez hozzájárulás</t>
  </si>
  <si>
    <t>Államháztartáson kívüli felhalmozási célú pénzeszköz átadás összesen:</t>
  </si>
  <si>
    <t>Beruházások előirányzata</t>
  </si>
  <si>
    <t>Beruházások előirányzata összesen:</t>
  </si>
  <si>
    <t xml:space="preserve"> 2016. évi eredeti előirányzat</t>
  </si>
  <si>
    <t>2016. évi eredeti terv</t>
  </si>
  <si>
    <t>2016. évi előirányzat</t>
  </si>
  <si>
    <t>III.3.ja (1) bölcsődei ellátás</t>
  </si>
  <si>
    <t>III.3.ja (4) bölcsődei ellátás fogyatékos gyermek</t>
  </si>
  <si>
    <t>Ezüstkor Szociális Gondozó Központ</t>
  </si>
  <si>
    <t>BKK támogatás</t>
  </si>
  <si>
    <t>NATÜ támogatás</t>
  </si>
  <si>
    <t xml:space="preserve">III.7 Kiegészítő támogatás a bölcsődei felsőfokú végzettségűek béréhez </t>
  </si>
  <si>
    <t>bruttó E Ft</t>
  </si>
  <si>
    <t>Eredeti előirányzat (E Ft)</t>
  </si>
  <si>
    <t>Helyi közösségi közlekedés fejlesztésének támogatása</t>
  </si>
  <si>
    <t>Céltartalék részletezése:</t>
  </si>
  <si>
    <t>Iskolaegészségügyi ellátás finanszírozásának továbbadása</t>
  </si>
  <si>
    <t>Magyar Máltai Szeretetszolgálat támogatása</t>
  </si>
  <si>
    <t>Céltartalék összesen:</t>
  </si>
  <si>
    <t>Vis maior bevétel:</t>
  </si>
  <si>
    <t>BÖT támogatás a Budakörnyéki Közterület-felügyelet fenntartására</t>
  </si>
  <si>
    <t>Ft-ban</t>
  </si>
  <si>
    <t>BÖT támogatás a HÍD Szociális és Gyermekjóléti Központ fenntartására</t>
  </si>
  <si>
    <t>Medicopter Alapítvány</t>
  </si>
  <si>
    <t>önként</t>
  </si>
  <si>
    <t>kötelező</t>
  </si>
  <si>
    <t>polgármester</t>
  </si>
  <si>
    <t>jegyző, aljegyző</t>
  </si>
  <si>
    <t>köztisztviselő, fizikai alkalmazott</t>
  </si>
  <si>
    <t>tagintézményvezető</t>
  </si>
  <si>
    <t>egyéb</t>
  </si>
  <si>
    <t>ÖNKORMÁNYZATI KÖZTISZTVISELŐK ÖSSZESEN:</t>
  </si>
  <si>
    <t>ALKALMAZOTTAK ÖSSZESEN:</t>
  </si>
  <si>
    <t>pedagógus, vagy könyvtáros, művelődésszervező</t>
  </si>
  <si>
    <t>dajka, kisgyermeknevelő</t>
  </si>
  <si>
    <t>védőnő</t>
  </si>
  <si>
    <t>alpolgármester</t>
  </si>
  <si>
    <t>2017. évi  bevétel</t>
  </si>
  <si>
    <t>2017. évi  kiadás</t>
  </si>
  <si>
    <t>-------------</t>
  </si>
  <si>
    <t>2017 össz.</t>
  </si>
  <si>
    <t>2017. össz.</t>
  </si>
  <si>
    <t xml:space="preserve">Lakossági útépítés önrész: </t>
  </si>
  <si>
    <t>Családi fesztivál:</t>
  </si>
  <si>
    <t>Békás tó rekultivációja:</t>
  </si>
  <si>
    <t>PM_ONKORMUT_2016 pályázat önrész:</t>
  </si>
  <si>
    <t>PM_ONKORMUT_2016 pályázat nem elszámolható költségek:</t>
  </si>
  <si>
    <t>2017. évi</t>
  </si>
  <si>
    <t>BÖT tagdíj (2017. évi működési hozzájárulás)</t>
  </si>
  <si>
    <t>TÖOSZ, Duna-Vértes Hull.gazd Zrt., Pilisi Kötet tagsági díjak</t>
  </si>
  <si>
    <t>Crosskovácsi Egyesület</t>
  </si>
  <si>
    <t>Sportpálya felújítás önrész (TAO támogatás)</t>
  </si>
  <si>
    <t>Róm. Kat Egyház</t>
  </si>
  <si>
    <t>Református Egyház</t>
  </si>
  <si>
    <t>Kossuth L. u. 56/2 ingatlanrész megvásárlása</t>
  </si>
  <si>
    <t>térinformatikai rendszer fejlesztése</t>
  </si>
  <si>
    <t>Bánya u. forgalomtechnikai beruházások</t>
  </si>
  <si>
    <t>Kaszáló Óvoda – Bölcsőde kút gépészet (szivattyútelepítés)</t>
  </si>
  <si>
    <t>Dózsa óvoda játszóeszköz ütéscsillapítás, kerítés építés</t>
  </si>
  <si>
    <t>Öregiskola tolóajtó csere</t>
  </si>
  <si>
    <t>Közvilágítás bővítés</t>
  </si>
  <si>
    <t>Felszíni vízelvezetés</t>
  </si>
  <si>
    <t>Tűzoltó laktanya villamos energiaellátásnak kiépítése</t>
  </si>
  <si>
    <t>Iskola részére szerszámok vásárlása (fűnyíró, fűkasza, hókotró stb.)</t>
  </si>
  <si>
    <t>Iskola fűtésrendszer javítása, felújítása:</t>
  </si>
  <si>
    <t>Temető 6-os parcella felújítása</t>
  </si>
  <si>
    <t>2017. évi eredeti terv</t>
  </si>
  <si>
    <t>Nagykovácsi Nagyközség Önkormányzat 
2017. évi tervezett bevételi előirányzatai előirányzat-csoportonként, kiemelt előirányzatok szerint</t>
  </si>
  <si>
    <t>Rovat száma</t>
  </si>
  <si>
    <t>2017. évi előirányzat</t>
  </si>
  <si>
    <t>Pótlék, bírság, egyéb közhatalmi bevételek</t>
  </si>
  <si>
    <t>20,53 fő</t>
  </si>
  <si>
    <t>29,6 fő</t>
  </si>
  <si>
    <t>343 fő</t>
  </si>
  <si>
    <t>10 fő</t>
  </si>
  <si>
    <t>21 fő</t>
  </si>
  <si>
    <t>1 fő</t>
  </si>
  <si>
    <t>17,17 fő</t>
  </si>
  <si>
    <t>7922 fő x 1140 Ft/fő</t>
  </si>
  <si>
    <t xml:space="preserve"> 2017. évi eredeti előirányzat</t>
  </si>
  <si>
    <t>Többéves kihatással járó döntések számszerűsítése évenkénti bontásban és összesítve:</t>
  </si>
  <si>
    <t>Jäger Kft. síkosságmentestés</t>
  </si>
  <si>
    <t>lejárat:</t>
  </si>
  <si>
    <t>2018. dec</t>
  </si>
  <si>
    <t>évente:</t>
  </si>
  <si>
    <t>~28.000 e Ft</t>
  </si>
  <si>
    <t>VTK Innosystem</t>
  </si>
  <si>
    <t xml:space="preserve">2021. dec. </t>
  </si>
  <si>
    <t>400 e Ft</t>
  </si>
  <si>
    <t>~ 14.000 e Ft</t>
  </si>
  <si>
    <t>összesen a hátralévő időben:</t>
  </si>
  <si>
    <t>2.000 e Ft</t>
  </si>
  <si>
    <t>Ezüstkor</t>
  </si>
  <si>
    <t>2019. dec.</t>
  </si>
  <si>
    <t>15.342 e Ft</t>
  </si>
  <si>
    <t>46.026 e Ft</t>
  </si>
  <si>
    <t>NEG Zrt.</t>
  </si>
  <si>
    <t>2026. jún.</t>
  </si>
  <si>
    <t>1021 e Ft</t>
  </si>
  <si>
    <t>10.210 e Ft</t>
  </si>
  <si>
    <t>Nemzeti Kataszteri Program</t>
  </si>
  <si>
    <t>340 e Ft</t>
  </si>
  <si>
    <t>1.020 e Ft</t>
  </si>
  <si>
    <t>intézményvezető, int.vez. helyettes</t>
  </si>
  <si>
    <t>Államháztartáson kívüli műk-i célú pénzeszköz átadás összesen   (1+..17):</t>
  </si>
  <si>
    <t>Államháztartáson belüli műk-i célú pénzeszköz átadás összesen   (1+..3):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</si>
</sst>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\ &quot;Ft&quot;"/>
  </numFmts>
  <fonts count="96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charset val="238"/>
    </font>
    <font>
      <b/>
      <sz val="12"/>
      <name val="Arial"/>
      <family val="2"/>
      <charset val="238"/>
    </font>
    <font>
      <b/>
      <sz val="8"/>
      <name val="Arial CE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Times New Roman"/>
      <family val="1"/>
      <charset val="238"/>
    </font>
    <font>
      <i/>
      <sz val="9"/>
      <name val="Arial"/>
      <family val="2"/>
    </font>
    <font>
      <sz val="10"/>
      <name val="MS Sans Serif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1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MS Sans Serif"/>
      <family val="2"/>
      <charset val="238"/>
    </font>
    <font>
      <b/>
      <sz val="10"/>
      <name val="Times New Roman"/>
      <family val="1"/>
      <charset val="238"/>
    </font>
    <font>
      <sz val="11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 CE"/>
      <family val="1"/>
      <charset val="238"/>
    </font>
    <font>
      <i/>
      <sz val="11"/>
      <name val="Times New Roman"/>
      <family val="1"/>
      <charset val="238"/>
    </font>
    <font>
      <b/>
      <sz val="10"/>
      <color indexed="14"/>
      <name val="Arial"/>
      <family val="2"/>
      <charset val="238"/>
    </font>
    <font>
      <sz val="10"/>
      <color indexed="14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</font>
    <font>
      <sz val="12"/>
      <name val="Arial"/>
      <family val="2"/>
      <charset val="238"/>
    </font>
    <font>
      <sz val="20"/>
      <name val="Arial"/>
      <family val="2"/>
      <charset val="238"/>
    </font>
    <font>
      <b/>
      <sz val="20"/>
      <name val="Arial"/>
      <family val="2"/>
      <charset val="238"/>
    </font>
    <font>
      <b/>
      <sz val="14"/>
      <name val="Arial"/>
      <family val="2"/>
      <charset val="238"/>
    </font>
    <font>
      <b/>
      <u/>
      <sz val="20"/>
      <name val="Arial"/>
      <family val="2"/>
      <charset val="238"/>
    </font>
    <font>
      <b/>
      <u/>
      <sz val="11"/>
      <name val="Times New Roman"/>
      <family val="1"/>
      <charset val="238"/>
    </font>
    <font>
      <sz val="10"/>
      <name val="Garamond"/>
      <family val="1"/>
      <charset val="238"/>
    </font>
    <font>
      <b/>
      <sz val="16"/>
      <name val="Garamond"/>
      <family val="1"/>
      <charset val="238"/>
    </font>
    <font>
      <i/>
      <sz val="12"/>
      <name val="Garamond"/>
      <family val="1"/>
      <charset val="238"/>
    </font>
    <font>
      <b/>
      <sz val="13"/>
      <name val="Garamond"/>
      <family val="1"/>
      <charset val="238"/>
    </font>
    <font>
      <b/>
      <sz val="12"/>
      <name val="Garamond"/>
      <family val="1"/>
      <charset val="238"/>
    </font>
    <font>
      <sz val="12"/>
      <name val="Garamond"/>
      <family val="1"/>
      <charset val="238"/>
    </font>
    <font>
      <i/>
      <sz val="8"/>
      <name val="Times New Roman"/>
      <family val="1"/>
      <charset val="238"/>
    </font>
    <font>
      <i/>
      <sz val="8"/>
      <name val="MS Sans Serif"/>
      <family val="2"/>
      <charset val="238"/>
    </font>
    <font>
      <i/>
      <sz val="8"/>
      <name val="Arial"/>
      <family val="2"/>
      <charset val="238"/>
    </font>
    <font>
      <i/>
      <sz val="9"/>
      <name val="Times New Roman"/>
      <family val="1"/>
      <charset val="238"/>
    </font>
    <font>
      <i/>
      <sz val="9"/>
      <name val="MS Sans Serif"/>
      <family val="2"/>
      <charset val="238"/>
    </font>
    <font>
      <b/>
      <sz val="10"/>
      <name val="Times New Roman CE"/>
      <family val="1"/>
      <charset val="238"/>
    </font>
    <font>
      <b/>
      <sz val="10"/>
      <name val="MS Sans Serif"/>
      <family val="2"/>
      <charset val="238"/>
    </font>
    <font>
      <sz val="7"/>
      <name val="Arial"/>
      <family val="2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Arial"/>
      <family val="2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u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</borders>
  <cellStyleXfs count="52">
    <xf numFmtId="0" fontId="0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5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13" borderId="0" applyNumberFormat="0" applyBorder="0" applyAlignment="0" applyProtection="0"/>
    <xf numFmtId="0" fontId="34" fillId="15" borderId="0" applyNumberFormat="0" applyBorder="0" applyAlignment="0" applyProtection="0"/>
    <xf numFmtId="0" fontId="35" fillId="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16" borderId="5" applyNumberFormat="0" applyAlignment="0" applyProtection="0"/>
    <xf numFmtId="43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1" fillId="17" borderId="7" applyNumberFormat="0" applyFont="0" applyAlignment="0" applyProtection="0"/>
    <xf numFmtId="0" fontId="41" fillId="17" borderId="7" applyNumberFormat="0" applyFont="0" applyAlignment="0" applyProtection="0"/>
    <xf numFmtId="0" fontId="41" fillId="17" borderId="7" applyNumberFormat="0" applyFont="0" applyAlignment="0" applyProtection="0"/>
    <xf numFmtId="0" fontId="41" fillId="17" borderId="7" applyNumberFormat="0" applyFont="0" applyAlignment="0" applyProtection="0"/>
    <xf numFmtId="0" fontId="44" fillId="4" borderId="0" applyNumberFormat="0" applyBorder="0" applyAlignment="0" applyProtection="0"/>
    <xf numFmtId="0" fontId="45" fillId="18" borderId="8" applyNumberFormat="0" applyAlignment="0" applyProtection="0"/>
    <xf numFmtId="0" fontId="4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33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33" fillId="0" borderId="0"/>
    <xf numFmtId="0" fontId="28" fillId="0" borderId="0"/>
    <xf numFmtId="0" fontId="1" fillId="0" borderId="0"/>
    <xf numFmtId="0" fontId="47" fillId="0" borderId="9" applyNumberFormat="0" applyFill="0" applyAlignment="0" applyProtection="0"/>
    <xf numFmtId="0" fontId="48" fillId="3" borderId="0" applyNumberFormat="0" applyBorder="0" applyAlignment="0" applyProtection="0"/>
    <xf numFmtId="0" fontId="49" fillId="19" borderId="0" applyNumberFormat="0" applyBorder="0" applyAlignment="0" applyProtection="0"/>
    <xf numFmtId="0" fontId="50" fillId="18" borderId="1" applyNumberFormat="0" applyAlignment="0" applyProtection="0"/>
    <xf numFmtId="9" fontId="1" fillId="0" borderId="0" applyFont="0" applyFill="0" applyBorder="0" applyAlignment="0" applyProtection="0"/>
  </cellStyleXfs>
  <cellXfs count="974">
    <xf numFmtId="0" fontId="0" fillId="0" borderId="0" xfId="0"/>
    <xf numFmtId="0" fontId="0" fillId="0" borderId="0" xfId="0" applyFill="1"/>
    <xf numFmtId="0" fontId="10" fillId="0" borderId="0" xfId="0" applyFont="1"/>
    <xf numFmtId="0" fontId="1" fillId="0" borderId="0" xfId="0" applyFont="1"/>
    <xf numFmtId="0" fontId="1" fillId="0" borderId="10" xfId="0" applyFont="1" applyBorder="1"/>
    <xf numFmtId="0" fontId="1" fillId="0" borderId="11" xfId="0" applyFont="1" applyBorder="1"/>
    <xf numFmtId="0" fontId="14" fillId="0" borderId="11" xfId="0" applyFont="1" applyBorder="1"/>
    <xf numFmtId="0" fontId="12" fillId="0" borderId="11" xfId="0" applyFont="1" applyBorder="1"/>
    <xf numFmtId="0" fontId="5" fillId="0" borderId="0" xfId="0" applyFont="1"/>
    <xf numFmtId="0" fontId="1" fillId="0" borderId="11" xfId="0" applyFont="1" applyFill="1" applyBorder="1"/>
    <xf numFmtId="3" fontId="12" fillId="0" borderId="12" xfId="0" applyNumberFormat="1" applyFont="1" applyFill="1" applyBorder="1"/>
    <xf numFmtId="0" fontId="1" fillId="0" borderId="0" xfId="0" applyFont="1" applyFill="1"/>
    <xf numFmtId="3" fontId="5" fillId="0" borderId="13" xfId="0" applyNumberFormat="1" applyFont="1" applyFill="1" applyBorder="1"/>
    <xf numFmtId="0" fontId="14" fillId="0" borderId="0" xfId="0" applyFont="1"/>
    <xf numFmtId="0" fontId="16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4" fillId="0" borderId="15" xfId="0" applyFont="1" applyBorder="1"/>
    <xf numFmtId="0" fontId="16" fillId="0" borderId="12" xfId="0" applyFont="1" applyBorder="1"/>
    <xf numFmtId="0" fontId="16" fillId="0" borderId="15" xfId="0" applyFont="1" applyBorder="1"/>
    <xf numFmtId="0" fontId="16" fillId="0" borderId="13" xfId="0" applyFont="1" applyBorder="1"/>
    <xf numFmtId="0" fontId="14" fillId="0" borderId="0" xfId="0" applyFont="1" applyFill="1"/>
    <xf numFmtId="0" fontId="16" fillId="20" borderId="14" xfId="0" applyFont="1" applyFill="1" applyBorder="1"/>
    <xf numFmtId="3" fontId="14" fillId="0" borderId="0" xfId="0" applyNumberFormat="1" applyFont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right"/>
    </xf>
    <xf numFmtId="0" fontId="16" fillId="0" borderId="13" xfId="0" applyFont="1" applyBorder="1" applyAlignment="1">
      <alignment horizontal="center"/>
    </xf>
    <xf numFmtId="0" fontId="16" fillId="21" borderId="16" xfId="0" applyFont="1" applyFill="1" applyBorder="1" applyAlignment="1">
      <alignment horizontal="center"/>
    </xf>
    <xf numFmtId="0" fontId="17" fillId="0" borderId="0" xfId="0" applyFont="1"/>
    <xf numFmtId="0" fontId="16" fillId="22" borderId="16" xfId="0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20" borderId="14" xfId="0" applyFont="1" applyFill="1" applyBorder="1" applyAlignment="1">
      <alignment horizontal="center"/>
    </xf>
    <xf numFmtId="0" fontId="0" fillId="0" borderId="18" xfId="0" applyFill="1" applyBorder="1"/>
    <xf numFmtId="0" fontId="0" fillId="0" borderId="0" xfId="0" applyBorder="1"/>
    <xf numFmtId="3" fontId="0" fillId="0" borderId="0" xfId="0" applyNumberFormat="1"/>
    <xf numFmtId="3" fontId="0" fillId="0" borderId="19" xfId="0" applyNumberFormat="1" applyBorder="1"/>
    <xf numFmtId="3" fontId="0" fillId="0" borderId="20" xfId="0" applyNumberFormat="1" applyFill="1" applyBorder="1"/>
    <xf numFmtId="3" fontId="5" fillId="0" borderId="21" xfId="0" applyNumberFormat="1" applyFont="1" applyBorder="1"/>
    <xf numFmtId="3" fontId="5" fillId="0" borderId="22" xfId="0" applyNumberFormat="1" applyFont="1" applyBorder="1"/>
    <xf numFmtId="0" fontId="16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3" fontId="0" fillId="0" borderId="19" xfId="0" applyNumberFormat="1" applyFill="1" applyBorder="1"/>
    <xf numFmtId="0" fontId="5" fillId="0" borderId="0" xfId="0" applyFont="1" applyBorder="1"/>
    <xf numFmtId="0" fontId="5" fillId="0" borderId="23" xfId="0" applyFont="1" applyBorder="1"/>
    <xf numFmtId="0" fontId="5" fillId="0" borderId="23" xfId="0" applyFont="1" applyFill="1" applyBorder="1"/>
    <xf numFmtId="0" fontId="9" fillId="0" borderId="0" xfId="0" applyFont="1"/>
    <xf numFmtId="0" fontId="5" fillId="0" borderId="10" xfId="0" applyFont="1" applyBorder="1"/>
    <xf numFmtId="0" fontId="5" fillId="0" borderId="16" xfId="0" applyFont="1" applyBorder="1" applyAlignment="1">
      <alignment horizontal="center" wrapText="1"/>
    </xf>
    <xf numFmtId="0" fontId="5" fillId="0" borderId="16" xfId="0" applyFont="1" applyBorder="1"/>
    <xf numFmtId="0" fontId="5" fillId="0" borderId="10" xfId="0" applyFont="1" applyFill="1" applyBorder="1"/>
    <xf numFmtId="0" fontId="5" fillId="0" borderId="24" xfId="0" applyFont="1" applyBorder="1" applyAlignment="1">
      <alignment horizontal="center" wrapText="1"/>
    </xf>
    <xf numFmtId="3" fontId="5" fillId="0" borderId="12" xfId="0" applyNumberFormat="1" applyFont="1" applyFill="1" applyBorder="1"/>
    <xf numFmtId="3" fontId="5" fillId="0" borderId="14" xfId="0" applyNumberFormat="1" applyFont="1" applyFill="1" applyBorder="1"/>
    <xf numFmtId="0" fontId="2" fillId="0" borderId="12" xfId="0" applyFont="1" applyBorder="1"/>
    <xf numFmtId="0" fontId="17" fillId="0" borderId="13" xfId="0" applyFont="1" applyBorder="1"/>
    <xf numFmtId="0" fontId="13" fillId="0" borderId="12" xfId="0" applyFont="1" applyBorder="1" applyAlignment="1">
      <alignment horizontal="left" wrapText="1"/>
    </xf>
    <xf numFmtId="0" fontId="17" fillId="0" borderId="12" xfId="0" applyFont="1" applyBorder="1"/>
    <xf numFmtId="0" fontId="17" fillId="0" borderId="14" xfId="0" applyFont="1" applyFill="1" applyBorder="1"/>
    <xf numFmtId="0" fontId="18" fillId="0" borderId="16" xfId="0" applyFont="1" applyFill="1" applyBorder="1"/>
    <xf numFmtId="43" fontId="14" fillId="0" borderId="0" xfId="26" applyFont="1"/>
    <xf numFmtId="0" fontId="16" fillId="0" borderId="24" xfId="0" applyFont="1" applyFill="1" applyBorder="1"/>
    <xf numFmtId="0" fontId="17" fillId="0" borderId="24" xfId="0" applyFont="1" applyBorder="1"/>
    <xf numFmtId="0" fontId="16" fillId="22" borderId="16" xfId="0" applyFont="1" applyFill="1" applyBorder="1"/>
    <xf numFmtId="0" fontId="5" fillId="0" borderId="18" xfId="0" applyFont="1" applyFill="1" applyBorder="1"/>
    <xf numFmtId="0" fontId="5" fillId="0" borderId="16" xfId="0" applyFont="1" applyFill="1" applyBorder="1" applyAlignment="1">
      <alignment horizontal="center" wrapText="1"/>
    </xf>
    <xf numFmtId="3" fontId="1" fillId="0" borderId="12" xfId="0" applyNumberFormat="1" applyFont="1" applyFill="1" applyBorder="1"/>
    <xf numFmtId="3" fontId="1" fillId="0" borderId="12" xfId="26" applyNumberFormat="1" applyFont="1" applyFill="1" applyBorder="1"/>
    <xf numFmtId="3" fontId="1" fillId="0" borderId="12" xfId="26" applyNumberFormat="1" applyFont="1" applyFill="1" applyBorder="1" applyAlignment="1">
      <alignment horizontal="right"/>
    </xf>
    <xf numFmtId="3" fontId="15" fillId="0" borderId="16" xfId="0" applyNumberFormat="1" applyFont="1" applyFill="1" applyBorder="1"/>
    <xf numFmtId="0" fontId="21" fillId="0" borderId="25" xfId="0" applyFont="1" applyFill="1" applyBorder="1" applyAlignment="1">
      <alignment horizontal="center"/>
    </xf>
    <xf numFmtId="0" fontId="0" fillId="0" borderId="26" xfId="0" applyFill="1" applyBorder="1"/>
    <xf numFmtId="0" fontId="10" fillId="0" borderId="27" xfId="0" applyFont="1" applyFill="1" applyBorder="1"/>
    <xf numFmtId="0" fontId="5" fillId="0" borderId="26" xfId="0" applyFont="1" applyFill="1" applyBorder="1"/>
    <xf numFmtId="0" fontId="23" fillId="0" borderId="18" xfId="0" applyFont="1" applyFill="1" applyBorder="1"/>
    <xf numFmtId="0" fontId="23" fillId="0" borderId="0" xfId="0" applyFont="1"/>
    <xf numFmtId="0" fontId="21" fillId="0" borderId="28" xfId="0" applyFont="1" applyFill="1" applyBorder="1"/>
    <xf numFmtId="0" fontId="21" fillId="0" borderId="0" xfId="0" applyFont="1"/>
    <xf numFmtId="0" fontId="26" fillId="0" borderId="0" xfId="0" applyFont="1" applyAlignment="1">
      <alignment horizontal="justify"/>
    </xf>
    <xf numFmtId="0" fontId="5" fillId="23" borderId="29" xfId="0" applyFont="1" applyFill="1" applyBorder="1" applyAlignment="1">
      <alignment horizontal="center" wrapText="1"/>
    </xf>
    <xf numFmtId="0" fontId="5" fillId="23" borderId="30" xfId="0" applyFont="1" applyFill="1" applyBorder="1" applyAlignment="1">
      <alignment horizontal="center" wrapText="1"/>
    </xf>
    <xf numFmtId="0" fontId="5" fillId="23" borderId="31" xfId="0" applyFont="1" applyFill="1" applyBorder="1" applyAlignment="1">
      <alignment wrapText="1"/>
    </xf>
    <xf numFmtId="0" fontId="5" fillId="23" borderId="32" xfId="0" applyFont="1" applyFill="1" applyBorder="1" applyAlignment="1">
      <alignment horizontal="center" wrapText="1"/>
    </xf>
    <xf numFmtId="0" fontId="5" fillId="23" borderId="14" xfId="0" applyFont="1" applyFill="1" applyBorder="1" applyAlignment="1">
      <alignment horizontal="center"/>
    </xf>
    <xf numFmtId="0" fontId="5" fillId="23" borderId="32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 horizontal="left"/>
    </xf>
    <xf numFmtId="0" fontId="12" fillId="0" borderId="32" xfId="0" applyFont="1" applyFill="1" applyBorder="1" applyAlignment="1">
      <alignment horizontal="right"/>
    </xf>
    <xf numFmtId="0" fontId="12" fillId="0" borderId="32" xfId="0" applyFont="1" applyFill="1" applyBorder="1" applyAlignment="1">
      <alignment horizontal="center"/>
    </xf>
    <xf numFmtId="0" fontId="12" fillId="0" borderId="14" xfId="0" applyFont="1" applyBorder="1" applyAlignment="1">
      <alignment horizontal="center" wrapText="1"/>
    </xf>
    <xf numFmtId="0" fontId="12" fillId="0" borderId="32" xfId="0" applyFont="1" applyBorder="1"/>
    <xf numFmtId="0" fontId="12" fillId="0" borderId="32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12" fillId="0" borderId="32" xfId="0" applyFont="1" applyBorder="1" applyAlignment="1">
      <alignment wrapText="1"/>
    </xf>
    <xf numFmtId="0" fontId="12" fillId="0" borderId="12" xfId="0" applyFont="1" applyBorder="1" applyAlignment="1">
      <alignment horizontal="center" wrapText="1"/>
    </xf>
    <xf numFmtId="0" fontId="12" fillId="0" borderId="33" xfId="0" applyFont="1" applyBorder="1" applyAlignment="1">
      <alignment wrapText="1"/>
    </xf>
    <xf numFmtId="4" fontId="19" fillId="0" borderId="11" xfId="0" applyNumberFormat="1" applyFont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34" xfId="0" applyFont="1" applyBorder="1"/>
    <xf numFmtId="0" fontId="2" fillId="0" borderId="11" xfId="0" applyFont="1" applyBorder="1"/>
    <xf numFmtId="0" fontId="17" fillId="0" borderId="23" xfId="0" applyFont="1" applyBorder="1"/>
    <xf numFmtId="0" fontId="6" fillId="0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17" fillId="0" borderId="35" xfId="0" applyFont="1" applyFill="1" applyBorder="1" applyAlignment="1">
      <alignment horizontal="left"/>
    </xf>
    <xf numFmtId="0" fontId="1" fillId="0" borderId="36" xfId="0" applyFont="1" applyFill="1" applyBorder="1"/>
    <xf numFmtId="3" fontId="5" fillId="0" borderId="37" xfId="0" applyNumberFormat="1" applyFont="1" applyFill="1" applyBorder="1"/>
    <xf numFmtId="3" fontId="14" fillId="0" borderId="0" xfId="0" applyNumberFormat="1" applyFont="1" applyFill="1"/>
    <xf numFmtId="3" fontId="1" fillId="0" borderId="0" xfId="0" applyNumberFormat="1" applyFont="1" applyFill="1"/>
    <xf numFmtId="9" fontId="14" fillId="0" borderId="0" xfId="51" applyFont="1" applyFill="1"/>
    <xf numFmtId="9" fontId="5" fillId="0" borderId="16" xfId="51" applyFont="1" applyBorder="1" applyAlignment="1">
      <alignment horizontal="center" wrapText="1"/>
    </xf>
    <xf numFmtId="9" fontId="17" fillId="0" borderId="12" xfId="51" applyFont="1" applyBorder="1" applyAlignment="1">
      <alignment horizontal="center"/>
    </xf>
    <xf numFmtId="9" fontId="16" fillId="0" borderId="14" xfId="51" applyFont="1" applyBorder="1" applyAlignment="1">
      <alignment horizontal="center"/>
    </xf>
    <xf numFmtId="9" fontId="14" fillId="0" borderId="0" xfId="51" applyFont="1"/>
    <xf numFmtId="9" fontId="1" fillId="0" borderId="0" xfId="51" applyFont="1"/>
    <xf numFmtId="9" fontId="1" fillId="0" borderId="36" xfId="51" applyFont="1" applyBorder="1"/>
    <xf numFmtId="9" fontId="1" fillId="0" borderId="12" xfId="51" applyFont="1" applyBorder="1"/>
    <xf numFmtId="9" fontId="5" fillId="0" borderId="13" xfId="51" applyFont="1" applyBorder="1"/>
    <xf numFmtId="9" fontId="12" fillId="0" borderId="12" xfId="51" applyFont="1" applyFill="1" applyBorder="1"/>
    <xf numFmtId="9" fontId="5" fillId="0" borderId="37" xfId="51" applyFont="1" applyBorder="1"/>
    <xf numFmtId="9" fontId="5" fillId="0" borderId="12" xfId="51" applyFont="1" applyBorder="1"/>
    <xf numFmtId="9" fontId="5" fillId="0" borderId="14" xfId="51" applyFont="1" applyFill="1" applyBorder="1"/>
    <xf numFmtId="9" fontId="15" fillId="0" borderId="16" xfId="51" applyFont="1" applyBorder="1"/>
    <xf numFmtId="3" fontId="1" fillId="0" borderId="0" xfId="0" applyNumberFormat="1" applyFont="1"/>
    <xf numFmtId="0" fontId="12" fillId="0" borderId="12" xfId="0" applyFont="1" applyBorder="1"/>
    <xf numFmtId="0" fontId="17" fillId="0" borderId="23" xfId="0" applyFont="1" applyFill="1" applyBorder="1"/>
    <xf numFmtId="0" fontId="5" fillId="0" borderId="11" xfId="0" applyFont="1" applyFill="1" applyBorder="1"/>
    <xf numFmtId="0" fontId="17" fillId="0" borderId="0" xfId="0" applyFont="1" applyFill="1" applyBorder="1"/>
    <xf numFmtId="0" fontId="19" fillId="0" borderId="11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left"/>
    </xf>
    <xf numFmtId="0" fontId="12" fillId="0" borderId="11" xfId="0" applyFont="1" applyFill="1" applyBorder="1"/>
    <xf numFmtId="9" fontId="1" fillId="0" borderId="12" xfId="51" applyFont="1" applyFill="1" applyBorder="1"/>
    <xf numFmtId="0" fontId="16" fillId="0" borderId="36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" fillId="0" borderId="34" xfId="0" applyFont="1" applyBorder="1" applyAlignment="1">
      <alignment wrapText="1"/>
    </xf>
    <xf numFmtId="0" fontId="1" fillId="0" borderId="36" xfId="0" applyFont="1" applyBorder="1" applyAlignment="1">
      <alignment wrapText="1"/>
    </xf>
    <xf numFmtId="9" fontId="17" fillId="0" borderId="38" xfId="5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9" fontId="14" fillId="0" borderId="15" xfId="51" applyFont="1" applyBorder="1" applyAlignment="1">
      <alignment horizontal="right"/>
    </xf>
    <xf numFmtId="3" fontId="2" fillId="0" borderId="39" xfId="0" applyNumberFormat="1" applyFont="1" applyFill="1" applyBorder="1" applyAlignment="1">
      <alignment horizontal="right"/>
    </xf>
    <xf numFmtId="9" fontId="16" fillId="21" borderId="16" xfId="51" applyFont="1" applyFill="1" applyBorder="1" applyAlignment="1">
      <alignment horizontal="right"/>
    </xf>
    <xf numFmtId="9" fontId="17" fillId="0" borderId="36" xfId="51" applyFont="1" applyBorder="1" applyAlignment="1">
      <alignment horizontal="center" wrapText="1"/>
    </xf>
    <xf numFmtId="0" fontId="14" fillId="0" borderId="40" xfId="0" applyFont="1" applyFill="1" applyBorder="1" applyAlignment="1">
      <alignment horizontal="right"/>
    </xf>
    <xf numFmtId="3" fontId="16" fillId="0" borderId="39" xfId="0" applyNumberFormat="1" applyFont="1" applyFill="1" applyBorder="1" applyAlignment="1">
      <alignment horizontal="right"/>
    </xf>
    <xf numFmtId="3" fontId="14" fillId="0" borderId="40" xfId="0" applyNumberFormat="1" applyFont="1" applyFill="1" applyBorder="1" applyAlignment="1">
      <alignment horizontal="right"/>
    </xf>
    <xf numFmtId="3" fontId="14" fillId="0" borderId="39" xfId="0" applyNumberFormat="1" applyFont="1" applyFill="1" applyBorder="1" applyAlignment="1">
      <alignment horizontal="right"/>
    </xf>
    <xf numFmtId="3" fontId="14" fillId="0" borderId="41" xfId="0" applyNumberFormat="1" applyFont="1" applyFill="1" applyBorder="1" applyAlignment="1">
      <alignment horizontal="right"/>
    </xf>
    <xf numFmtId="0" fontId="14" fillId="0" borderId="13" xfId="0" applyFont="1" applyBorder="1" applyAlignment="1">
      <alignment horizontal="left"/>
    </xf>
    <xf numFmtId="0" fontId="12" fillId="0" borderId="39" xfId="0" applyFont="1" applyBorder="1"/>
    <xf numFmtId="0" fontId="16" fillId="0" borderId="13" xfId="0" applyFont="1" applyBorder="1" applyAlignment="1">
      <alignment shrinkToFit="1"/>
    </xf>
    <xf numFmtId="0" fontId="16" fillId="21" borderId="16" xfId="0" applyFont="1" applyFill="1" applyBorder="1"/>
    <xf numFmtId="0" fontId="16" fillId="0" borderId="13" xfId="0" applyFont="1" applyBorder="1" applyAlignment="1">
      <alignment horizontal="left"/>
    </xf>
    <xf numFmtId="0" fontId="14" fillId="0" borderId="42" xfId="0" applyFont="1" applyBorder="1" applyAlignment="1">
      <alignment horizontal="left"/>
    </xf>
    <xf numFmtId="0" fontId="7" fillId="0" borderId="43" xfId="0" applyFont="1" applyBorder="1"/>
    <xf numFmtId="0" fontId="7" fillId="0" borderId="44" xfId="0" applyFont="1" applyBorder="1"/>
    <xf numFmtId="3" fontId="27" fillId="0" borderId="45" xfId="0" applyNumberFormat="1" applyFont="1" applyBorder="1"/>
    <xf numFmtId="9" fontId="16" fillId="0" borderId="39" xfId="51" applyFont="1" applyFill="1" applyBorder="1" applyAlignment="1">
      <alignment horizontal="right"/>
    </xf>
    <xf numFmtId="9" fontId="14" fillId="0" borderId="40" xfId="51" applyFont="1" applyFill="1" applyBorder="1" applyAlignment="1">
      <alignment horizontal="right"/>
    </xf>
    <xf numFmtId="9" fontId="14" fillId="0" borderId="39" xfId="51" applyFont="1" applyFill="1" applyBorder="1" applyAlignment="1">
      <alignment horizontal="right"/>
    </xf>
    <xf numFmtId="9" fontId="2" fillId="0" borderId="39" xfId="51" applyFont="1" applyFill="1" applyBorder="1" applyAlignment="1">
      <alignment horizontal="right"/>
    </xf>
    <xf numFmtId="9" fontId="14" fillId="0" borderId="41" xfId="51" applyFont="1" applyFill="1" applyBorder="1" applyAlignment="1">
      <alignment horizontal="right"/>
    </xf>
    <xf numFmtId="3" fontId="5" fillId="0" borderId="40" xfId="0" applyNumberFormat="1" applyFont="1" applyBorder="1"/>
    <xf numFmtId="3" fontId="5" fillId="0" borderId="46" xfId="0" applyNumberFormat="1" applyFont="1" applyBorder="1"/>
    <xf numFmtId="3" fontId="5" fillId="0" borderId="32" xfId="0" applyNumberFormat="1" applyFont="1" applyBorder="1"/>
    <xf numFmtId="3" fontId="5" fillId="0" borderId="16" xfId="0" applyNumberFormat="1" applyFont="1" applyFill="1" applyBorder="1"/>
    <xf numFmtId="3" fontId="16" fillId="21" borderId="16" xfId="26" applyNumberFormat="1" applyFont="1" applyFill="1" applyBorder="1" applyAlignment="1">
      <alignment horizontal="right"/>
    </xf>
    <xf numFmtId="0" fontId="2" fillId="0" borderId="0" xfId="0" applyFont="1" applyFill="1"/>
    <xf numFmtId="0" fontId="1" fillId="0" borderId="0" xfId="0" applyFont="1" applyFill="1" applyBorder="1"/>
    <xf numFmtId="0" fontId="12" fillId="0" borderId="0" xfId="0" applyFont="1"/>
    <xf numFmtId="3" fontId="12" fillId="0" borderId="13" xfId="0" applyNumberFormat="1" applyFont="1" applyFill="1" applyBorder="1" applyAlignment="1">
      <alignment horizontal="right"/>
    </xf>
    <xf numFmtId="0" fontId="12" fillId="0" borderId="0" xfId="0" applyFont="1" applyFill="1"/>
    <xf numFmtId="3" fontId="5" fillId="0" borderId="16" xfId="0" applyNumberFormat="1" applyFont="1" applyFill="1" applyBorder="1" applyAlignment="1">
      <alignment horizontal="right"/>
    </xf>
    <xf numFmtId="0" fontId="12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/>
    <xf numFmtId="3" fontId="12" fillId="0" borderId="17" xfId="0" applyNumberFormat="1" applyFont="1" applyFill="1" applyBorder="1" applyAlignment="1">
      <alignment horizontal="right"/>
    </xf>
    <xf numFmtId="0" fontId="29" fillId="0" borderId="47" xfId="0" applyFont="1" applyBorder="1" applyAlignment="1">
      <alignment horizontal="center"/>
    </xf>
    <xf numFmtId="0" fontId="29" fillId="0" borderId="48" xfId="0" applyFont="1" applyBorder="1" applyAlignment="1">
      <alignment horizontal="center"/>
    </xf>
    <xf numFmtId="3" fontId="5" fillId="0" borderId="49" xfId="0" applyNumberFormat="1" applyFont="1" applyBorder="1" applyAlignment="1">
      <alignment horizontal="center"/>
    </xf>
    <xf numFmtId="3" fontId="1" fillId="0" borderId="20" xfId="0" applyNumberFormat="1" applyFont="1" applyFill="1" applyBorder="1" applyAlignment="1">
      <alignment horizontal="right"/>
    </xf>
    <xf numFmtId="0" fontId="29" fillId="0" borderId="50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3" fontId="29" fillId="0" borderId="51" xfId="0" applyNumberFormat="1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3" fontId="29" fillId="0" borderId="52" xfId="0" applyNumberFormat="1" applyFont="1" applyBorder="1" applyAlignment="1">
      <alignment horizontal="center"/>
    </xf>
    <xf numFmtId="3" fontId="1" fillId="0" borderId="49" xfId="0" applyNumberFormat="1" applyFont="1" applyFill="1" applyBorder="1" applyAlignment="1">
      <alignment horizontal="right"/>
    </xf>
    <xf numFmtId="0" fontId="29" fillId="0" borderId="53" xfId="0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0" fontId="7" fillId="0" borderId="0" xfId="0" applyFont="1"/>
    <xf numFmtId="0" fontId="12" fillId="0" borderId="10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30" fillId="0" borderId="55" xfId="0" applyFont="1" applyBorder="1"/>
    <xf numFmtId="3" fontId="7" fillId="0" borderId="56" xfId="0" applyNumberFormat="1" applyFont="1" applyBorder="1"/>
    <xf numFmtId="3" fontId="7" fillId="0" borderId="57" xfId="0" applyNumberFormat="1" applyFont="1" applyBorder="1"/>
    <xf numFmtId="3" fontId="7" fillId="0" borderId="45" xfId="0" applyNumberFormat="1" applyFont="1" applyBorder="1"/>
    <xf numFmtId="0" fontId="29" fillId="0" borderId="18" xfId="0" applyFont="1" applyBorder="1"/>
    <xf numFmtId="0" fontId="31" fillId="0" borderId="26" xfId="0" applyFont="1" applyBorder="1"/>
    <xf numFmtId="3" fontId="7" fillId="0" borderId="58" xfId="0" applyNumberFormat="1" applyFont="1" applyBorder="1"/>
    <xf numFmtId="3" fontId="7" fillId="0" borderId="19" xfId="0" applyNumberFormat="1" applyFont="1" applyBorder="1"/>
    <xf numFmtId="3" fontId="0" fillId="0" borderId="58" xfId="0" applyNumberFormat="1" applyBorder="1"/>
    <xf numFmtId="3" fontId="0" fillId="0" borderId="20" xfId="0" applyNumberFormat="1" applyBorder="1"/>
    <xf numFmtId="0" fontId="5" fillId="0" borderId="18" xfId="0" applyFont="1" applyBorder="1"/>
    <xf numFmtId="3" fontId="7" fillId="0" borderId="20" xfId="0" applyNumberFormat="1" applyFont="1" applyBorder="1"/>
    <xf numFmtId="0" fontId="31" fillId="0" borderId="18" xfId="0" applyFont="1" applyBorder="1"/>
    <xf numFmtId="3" fontId="0" fillId="0" borderId="58" xfId="0" applyNumberFormat="1" applyFill="1" applyBorder="1"/>
    <xf numFmtId="0" fontId="31" fillId="0" borderId="18" xfId="0" applyFont="1" applyFill="1" applyBorder="1"/>
    <xf numFmtId="0" fontId="0" fillId="0" borderId="18" xfId="0" applyBorder="1" applyAlignment="1">
      <alignment horizontal="right"/>
    </xf>
    <xf numFmtId="3" fontId="12" fillId="0" borderId="19" xfId="0" applyNumberFormat="1" applyFont="1" applyBorder="1"/>
    <xf numFmtId="3" fontId="12" fillId="0" borderId="58" xfId="0" applyNumberFormat="1" applyFont="1" applyBorder="1"/>
    <xf numFmtId="0" fontId="5" fillId="0" borderId="28" xfId="0" applyFont="1" applyBorder="1"/>
    <xf numFmtId="0" fontId="0" fillId="0" borderId="0" xfId="0" applyFill="1" applyBorder="1"/>
    <xf numFmtId="0" fontId="25" fillId="0" borderId="49" xfId="0" applyFont="1" applyBorder="1" applyAlignment="1">
      <alignment horizontal="center"/>
    </xf>
    <xf numFmtId="3" fontId="12" fillId="0" borderId="20" xfId="0" applyNumberFormat="1" applyFont="1" applyBorder="1"/>
    <xf numFmtId="0" fontId="25" fillId="20" borderId="59" xfId="0" applyFont="1" applyFill="1" applyBorder="1" applyAlignment="1">
      <alignment horizontal="center"/>
    </xf>
    <xf numFmtId="0" fontId="25" fillId="20" borderId="60" xfId="0" applyFont="1" applyFill="1" applyBorder="1" applyAlignment="1">
      <alignment horizontal="center"/>
    </xf>
    <xf numFmtId="0" fontId="24" fillId="20" borderId="54" xfId="0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/>
    </xf>
    <xf numFmtId="3" fontId="7" fillId="20" borderId="56" xfId="0" applyNumberFormat="1" applyFont="1" applyFill="1" applyBorder="1"/>
    <xf numFmtId="3" fontId="7" fillId="20" borderId="15" xfId="0" applyNumberFormat="1" applyFont="1" applyFill="1" applyBorder="1"/>
    <xf numFmtId="3" fontId="7" fillId="20" borderId="58" xfId="0" applyNumberFormat="1" applyFont="1" applyFill="1" applyBorder="1"/>
    <xf numFmtId="3" fontId="7" fillId="20" borderId="13" xfId="0" applyNumberFormat="1" applyFont="1" applyFill="1" applyBorder="1"/>
    <xf numFmtId="3" fontId="0" fillId="20" borderId="58" xfId="0" applyNumberFormat="1" applyFill="1" applyBorder="1"/>
    <xf numFmtId="3" fontId="0" fillId="20" borderId="13" xfId="0" applyNumberFormat="1" applyFill="1" applyBorder="1"/>
    <xf numFmtId="3" fontId="32" fillId="20" borderId="58" xfId="0" applyNumberFormat="1" applyFont="1" applyFill="1" applyBorder="1"/>
    <xf numFmtId="3" fontId="12" fillId="20" borderId="13" xfId="0" applyNumberFormat="1" applyFont="1" applyFill="1" applyBorder="1"/>
    <xf numFmtId="3" fontId="12" fillId="20" borderId="58" xfId="0" applyNumberFormat="1" applyFont="1" applyFill="1" applyBorder="1"/>
    <xf numFmtId="3" fontId="5" fillId="20" borderId="54" xfId="0" applyNumberFormat="1" applyFont="1" applyFill="1" applyBorder="1"/>
    <xf numFmtId="3" fontId="5" fillId="20" borderId="14" xfId="0" applyNumberFormat="1" applyFont="1" applyFill="1" applyBorder="1"/>
    <xf numFmtId="0" fontId="12" fillId="0" borderId="0" xfId="45" applyFont="1"/>
    <xf numFmtId="0" fontId="53" fillId="0" borderId="0" xfId="45" applyFont="1"/>
    <xf numFmtId="3" fontId="12" fillId="0" borderId="0" xfId="45" applyNumberFormat="1" applyFont="1"/>
    <xf numFmtId="0" fontId="5" fillId="24" borderId="16" xfId="0" applyFont="1" applyFill="1" applyBorder="1" applyAlignment="1">
      <alignment horizontal="center" wrapText="1"/>
    </xf>
    <xf numFmtId="9" fontId="12" fillId="0" borderId="13" xfId="51" applyNumberFormat="1" applyFont="1" applyFill="1" applyBorder="1" applyAlignment="1">
      <alignment horizontal="right"/>
    </xf>
    <xf numFmtId="9" fontId="12" fillId="0" borderId="17" xfId="51" applyNumberFormat="1" applyFont="1" applyFill="1" applyBorder="1" applyAlignment="1">
      <alignment horizontal="right"/>
    </xf>
    <xf numFmtId="3" fontId="12" fillId="0" borderId="0" xfId="0" applyNumberFormat="1" applyFont="1" applyFill="1"/>
    <xf numFmtId="9" fontId="5" fillId="0" borderId="16" xfId="51" applyFont="1" applyFill="1" applyBorder="1" applyAlignment="1">
      <alignment horizontal="right"/>
    </xf>
    <xf numFmtId="3" fontId="12" fillId="25" borderId="0" xfId="0" applyNumberFormat="1" applyFont="1" applyFill="1"/>
    <xf numFmtId="9" fontId="1" fillId="0" borderId="20" xfId="51" applyFont="1" applyFill="1" applyBorder="1" applyAlignment="1">
      <alignment horizontal="right"/>
    </xf>
    <xf numFmtId="3" fontId="1" fillId="0" borderId="42" xfId="0" applyNumberFormat="1" applyFont="1" applyFill="1" applyBorder="1" applyAlignment="1">
      <alignment horizontal="right"/>
    </xf>
    <xf numFmtId="9" fontId="1" fillId="0" borderId="42" xfId="51" applyFont="1" applyFill="1" applyBorder="1" applyAlignment="1">
      <alignment horizontal="right"/>
    </xf>
    <xf numFmtId="9" fontId="1" fillId="0" borderId="0" xfId="51" applyFont="1" applyFill="1" applyBorder="1"/>
    <xf numFmtId="0" fontId="1" fillId="0" borderId="33" xfId="0" applyFont="1" applyFill="1" applyBorder="1"/>
    <xf numFmtId="9" fontId="1" fillId="0" borderId="49" xfId="51" applyFont="1" applyFill="1" applyBorder="1" applyAlignment="1">
      <alignment horizontal="right"/>
    </xf>
    <xf numFmtId="0" fontId="25" fillId="20" borderId="61" xfId="0" applyFont="1" applyFill="1" applyBorder="1" applyAlignment="1">
      <alignment horizontal="center"/>
    </xf>
    <xf numFmtId="0" fontId="24" fillId="20" borderId="62" xfId="0" applyFont="1" applyFill="1" applyBorder="1" applyAlignment="1">
      <alignment horizontal="center"/>
    </xf>
    <xf numFmtId="3" fontId="7" fillId="20" borderId="63" xfId="0" applyNumberFormat="1" applyFont="1" applyFill="1" applyBorder="1"/>
    <xf numFmtId="3" fontId="7" fillId="20" borderId="64" xfId="0" applyNumberFormat="1" applyFont="1" applyFill="1" applyBorder="1"/>
    <xf numFmtId="3" fontId="0" fillId="20" borderId="64" xfId="0" applyNumberFormat="1" applyFill="1" applyBorder="1"/>
    <xf numFmtId="3" fontId="12" fillId="20" borderId="64" xfId="0" applyNumberFormat="1" applyFont="1" applyFill="1" applyBorder="1"/>
    <xf numFmtId="3" fontId="5" fillId="20" borderId="62" xfId="0" applyNumberFormat="1" applyFont="1" applyFill="1" applyBorder="1"/>
    <xf numFmtId="0" fontId="41" fillId="0" borderId="0" xfId="0" applyFont="1"/>
    <xf numFmtId="0" fontId="55" fillId="23" borderId="19" xfId="0" applyFont="1" applyFill="1" applyBorder="1" applyAlignment="1">
      <alignment horizontal="center"/>
    </xf>
    <xf numFmtId="3" fontId="56" fillId="0" borderId="0" xfId="0" applyNumberFormat="1" applyFont="1" applyFill="1" applyBorder="1"/>
    <xf numFmtId="0" fontId="21" fillId="0" borderId="51" xfId="0" applyFont="1" applyFill="1" applyBorder="1" applyAlignment="1">
      <alignment horizontal="center"/>
    </xf>
    <xf numFmtId="3" fontId="52" fillId="26" borderId="19" xfId="0" applyNumberFormat="1" applyFont="1" applyFill="1" applyBorder="1"/>
    <xf numFmtId="0" fontId="57" fillId="0" borderId="19" xfId="0" applyFont="1" applyBorder="1"/>
    <xf numFmtId="3" fontId="57" fillId="0" borderId="19" xfId="0" applyNumberFormat="1" applyFont="1" applyBorder="1"/>
    <xf numFmtId="3" fontId="57" fillId="0" borderId="19" xfId="38" applyNumberFormat="1" applyFont="1" applyBorder="1"/>
    <xf numFmtId="0" fontId="41" fillId="27" borderId="0" xfId="0" applyFont="1" applyFill="1"/>
    <xf numFmtId="3" fontId="59" fillId="0" borderId="66" xfId="38" applyNumberFormat="1" applyFont="1" applyFill="1" applyBorder="1"/>
    <xf numFmtId="3" fontId="57" fillId="0" borderId="19" xfId="38" applyNumberFormat="1" applyFont="1" applyFill="1" applyBorder="1"/>
    <xf numFmtId="0" fontId="56" fillId="0" borderId="0" xfId="0" applyFont="1" applyBorder="1"/>
    <xf numFmtId="3" fontId="60" fillId="0" borderId="0" xfId="0" applyNumberFormat="1" applyFont="1" applyFill="1" applyBorder="1"/>
    <xf numFmtId="0" fontId="55" fillId="0" borderId="0" xfId="0" applyFont="1" applyBorder="1"/>
    <xf numFmtId="3" fontId="41" fillId="0" borderId="0" xfId="0" applyNumberFormat="1" applyFont="1"/>
    <xf numFmtId="0" fontId="56" fillId="0" borderId="0" xfId="0" applyFont="1"/>
    <xf numFmtId="0" fontId="56" fillId="0" borderId="0" xfId="0" applyFont="1" applyFill="1" applyBorder="1"/>
    <xf numFmtId="0" fontId="17" fillId="0" borderId="17" xfId="0" applyFont="1" applyBorder="1"/>
    <xf numFmtId="3" fontId="5" fillId="0" borderId="39" xfId="0" applyNumberFormat="1" applyFont="1" applyFill="1" applyBorder="1"/>
    <xf numFmtId="3" fontId="5" fillId="0" borderId="33" xfId="0" applyNumberFormat="1" applyFont="1" applyFill="1" applyBorder="1"/>
    <xf numFmtId="0" fontId="25" fillId="20" borderId="49" xfId="0" applyFont="1" applyFill="1" applyBorder="1" applyAlignment="1">
      <alignment horizontal="center"/>
    </xf>
    <xf numFmtId="0" fontId="24" fillId="20" borderId="52" xfId="0" applyFont="1" applyFill="1" applyBorder="1" applyAlignment="1">
      <alignment horizontal="center"/>
    </xf>
    <xf numFmtId="3" fontId="7" fillId="20" borderId="45" xfId="0" applyNumberFormat="1" applyFont="1" applyFill="1" applyBorder="1"/>
    <xf numFmtId="3" fontId="7" fillId="20" borderId="20" xfId="0" applyNumberFormat="1" applyFont="1" applyFill="1" applyBorder="1"/>
    <xf numFmtId="3" fontId="0" fillId="20" borderId="20" xfId="0" applyNumberFormat="1" applyFill="1" applyBorder="1"/>
    <xf numFmtId="3" fontId="12" fillId="20" borderId="20" xfId="0" applyNumberFormat="1" applyFont="1" applyFill="1" applyBorder="1"/>
    <xf numFmtId="3" fontId="5" fillId="20" borderId="22" xfId="0" applyNumberFormat="1" applyFont="1" applyFill="1" applyBorder="1"/>
    <xf numFmtId="0" fontId="8" fillId="0" borderId="67" xfId="0" applyFont="1" applyBorder="1" applyAlignment="1">
      <alignment horizontal="right"/>
    </xf>
    <xf numFmtId="3" fontId="8" fillId="20" borderId="68" xfId="0" applyNumberFormat="1" applyFont="1" applyFill="1" applyBorder="1"/>
    <xf numFmtId="3" fontId="8" fillId="20" borderId="17" xfId="0" applyNumberFormat="1" applyFont="1" applyFill="1" applyBorder="1"/>
    <xf numFmtId="3" fontId="8" fillId="20" borderId="69" xfId="0" applyNumberFormat="1" applyFont="1" applyFill="1" applyBorder="1"/>
    <xf numFmtId="3" fontId="8" fillId="0" borderId="66" xfId="0" applyNumberFormat="1" applyFont="1" applyBorder="1"/>
    <xf numFmtId="3" fontId="8" fillId="0" borderId="68" xfId="0" applyNumberFormat="1" applyFont="1" applyBorder="1"/>
    <xf numFmtId="3" fontId="8" fillId="20" borderId="42" xfId="0" applyNumberFormat="1" applyFont="1" applyFill="1" applyBorder="1"/>
    <xf numFmtId="3" fontId="8" fillId="0" borderId="42" xfId="0" applyNumberFormat="1" applyFont="1" applyBorder="1"/>
    <xf numFmtId="0" fontId="0" fillId="0" borderId="47" xfId="0" applyBorder="1"/>
    <xf numFmtId="3" fontId="0" fillId="20" borderId="59" xfId="0" applyNumberFormat="1" applyFill="1" applyBorder="1"/>
    <xf numFmtId="3" fontId="0" fillId="20" borderId="60" xfId="0" applyNumberFormat="1" applyFill="1" applyBorder="1"/>
    <xf numFmtId="3" fontId="0" fillId="20" borderId="61" xfId="0" applyNumberFormat="1" applyFill="1" applyBorder="1"/>
    <xf numFmtId="3" fontId="0" fillId="0" borderId="48" xfId="0" applyNumberFormat="1" applyBorder="1"/>
    <xf numFmtId="3" fontId="0" fillId="0" borderId="59" xfId="0" applyNumberFormat="1" applyBorder="1"/>
    <xf numFmtId="3" fontId="0" fillId="20" borderId="49" xfId="0" applyNumberFormat="1" applyFill="1" applyBorder="1"/>
    <xf numFmtId="3" fontId="0" fillId="0" borderId="49" xfId="0" applyNumberFormat="1" applyBorder="1"/>
    <xf numFmtId="0" fontId="8" fillId="0" borderId="27" xfId="0" applyFont="1" applyBorder="1" applyAlignment="1">
      <alignment horizontal="right"/>
    </xf>
    <xf numFmtId="3" fontId="8" fillId="20" borderId="70" xfId="0" applyNumberFormat="1" applyFont="1" applyFill="1" applyBorder="1"/>
    <xf numFmtId="3" fontId="8" fillId="20" borderId="37" xfId="0" applyNumberFormat="1" applyFont="1" applyFill="1" applyBorder="1"/>
    <xf numFmtId="3" fontId="8" fillId="20" borderId="71" xfId="0" applyNumberFormat="1" applyFont="1" applyFill="1" applyBorder="1"/>
    <xf numFmtId="3" fontId="8" fillId="0" borderId="50" xfId="0" applyNumberFormat="1" applyFont="1" applyBorder="1"/>
    <xf numFmtId="3" fontId="8" fillId="0" borderId="70" xfId="0" applyNumberFormat="1" applyFont="1" applyBorder="1"/>
    <xf numFmtId="3" fontId="8" fillId="20" borderId="52" xfId="0" applyNumberFormat="1" applyFont="1" applyFill="1" applyBorder="1"/>
    <xf numFmtId="3" fontId="8" fillId="0" borderId="52" xfId="0" applyNumberFormat="1" applyFont="1" applyBorder="1"/>
    <xf numFmtId="0" fontId="0" fillId="0" borderId="47" xfId="0" applyFill="1" applyBorder="1"/>
    <xf numFmtId="3" fontId="0" fillId="0" borderId="48" xfId="0" applyNumberFormat="1" applyFill="1" applyBorder="1"/>
    <xf numFmtId="3" fontId="0" fillId="0" borderId="59" xfId="0" applyNumberFormat="1" applyFill="1" applyBorder="1"/>
    <xf numFmtId="3" fontId="0" fillId="0" borderId="49" xfId="0" applyNumberFormat="1" applyFill="1" applyBorder="1"/>
    <xf numFmtId="0" fontId="8" fillId="0" borderId="27" xfId="0" applyFont="1" applyFill="1" applyBorder="1" applyAlignment="1">
      <alignment horizontal="right"/>
    </xf>
    <xf numFmtId="3" fontId="32" fillId="20" borderId="70" xfId="0" applyNumberFormat="1" applyFont="1" applyFill="1" applyBorder="1"/>
    <xf numFmtId="3" fontId="32" fillId="20" borderId="37" xfId="0" applyNumberFormat="1" applyFont="1" applyFill="1" applyBorder="1"/>
    <xf numFmtId="3" fontId="32" fillId="20" borderId="71" xfId="0" applyNumberFormat="1" applyFont="1" applyFill="1" applyBorder="1"/>
    <xf numFmtId="3" fontId="32" fillId="0" borderId="50" xfId="0" applyNumberFormat="1" applyFont="1" applyFill="1" applyBorder="1"/>
    <xf numFmtId="3" fontId="32" fillId="0" borderId="50" xfId="0" applyNumberFormat="1" applyFont="1" applyFill="1" applyBorder="1" applyAlignment="1">
      <alignment horizontal="right"/>
    </xf>
    <xf numFmtId="3" fontId="32" fillId="0" borderId="70" xfId="0" applyNumberFormat="1" applyFont="1" applyFill="1" applyBorder="1"/>
    <xf numFmtId="3" fontId="32" fillId="20" borderId="52" xfId="0" applyNumberFormat="1" applyFont="1" applyFill="1" applyBorder="1"/>
    <xf numFmtId="3" fontId="32" fillId="0" borderId="52" xfId="0" applyNumberFormat="1" applyFont="1" applyFill="1" applyBorder="1"/>
    <xf numFmtId="0" fontId="12" fillId="0" borderId="47" xfId="0" applyFont="1" applyBorder="1"/>
    <xf numFmtId="3" fontId="32" fillId="0" borderId="50" xfId="0" applyNumberFormat="1" applyFont="1" applyBorder="1"/>
    <xf numFmtId="3" fontId="32" fillId="0" borderId="70" xfId="0" applyNumberFormat="1" applyFont="1" applyBorder="1"/>
    <xf numFmtId="3" fontId="32" fillId="0" borderId="52" xfId="0" applyNumberFormat="1" applyFont="1" applyBorder="1"/>
    <xf numFmtId="0" fontId="24" fillId="0" borderId="47" xfId="0" applyFont="1" applyBorder="1" applyAlignment="1">
      <alignment horizontal="left"/>
    </xf>
    <xf numFmtId="3" fontId="32" fillId="20" borderId="59" xfId="0" applyNumberFormat="1" applyFont="1" applyFill="1" applyBorder="1"/>
    <xf numFmtId="3" fontId="32" fillId="20" borderId="60" xfId="0" applyNumberFormat="1" applyFont="1" applyFill="1" applyBorder="1"/>
    <xf numFmtId="3" fontId="32" fillId="20" borderId="61" xfId="0" applyNumberFormat="1" applyFont="1" applyFill="1" applyBorder="1"/>
    <xf numFmtId="3" fontId="32" fillId="0" borderId="48" xfId="0" applyNumberFormat="1" applyFont="1" applyBorder="1"/>
    <xf numFmtId="3" fontId="32" fillId="0" borderId="59" xfId="0" applyNumberFormat="1" applyFont="1" applyBorder="1"/>
    <xf numFmtId="3" fontId="32" fillId="20" borderId="49" xfId="0" applyNumberFormat="1" applyFont="1" applyFill="1" applyBorder="1"/>
    <xf numFmtId="3" fontId="32" fillId="0" borderId="49" xfId="0" applyNumberFormat="1" applyFont="1" applyBorder="1"/>
    <xf numFmtId="3" fontId="12" fillId="20" borderId="59" xfId="0" applyNumberFormat="1" applyFont="1" applyFill="1" applyBorder="1"/>
    <xf numFmtId="3" fontId="12" fillId="20" borderId="60" xfId="0" applyNumberFormat="1" applyFont="1" applyFill="1" applyBorder="1"/>
    <xf numFmtId="3" fontId="12" fillId="20" borderId="61" xfId="0" applyNumberFormat="1" applyFont="1" applyFill="1" applyBorder="1"/>
    <xf numFmtId="3" fontId="12" fillId="0" borderId="48" xfId="0" applyNumberFormat="1" applyFont="1" applyBorder="1"/>
    <xf numFmtId="3" fontId="12" fillId="0" borderId="59" xfId="0" applyNumberFormat="1" applyFont="1" applyBorder="1"/>
    <xf numFmtId="3" fontId="12" fillId="20" borderId="49" xfId="0" applyNumberFormat="1" applyFont="1" applyFill="1" applyBorder="1"/>
    <xf numFmtId="3" fontId="12" fillId="0" borderId="49" xfId="0" applyNumberFormat="1" applyFont="1" applyBorder="1"/>
    <xf numFmtId="0" fontId="8" fillId="0" borderId="52" xfId="0" applyFont="1" applyBorder="1" applyAlignment="1">
      <alignment horizontal="center"/>
    </xf>
    <xf numFmtId="3" fontId="0" fillId="0" borderId="20" xfId="0" applyNumberFormat="1" applyFill="1" applyBorder="1" applyAlignment="1">
      <alignment horizontal="right"/>
    </xf>
    <xf numFmtId="3" fontId="10" fillId="0" borderId="52" xfId="0" applyNumberFormat="1" applyFont="1" applyFill="1" applyBorder="1"/>
    <xf numFmtId="3" fontId="0" fillId="0" borderId="45" xfId="0" applyNumberFormat="1" applyFill="1" applyBorder="1"/>
    <xf numFmtId="3" fontId="5" fillId="0" borderId="45" xfId="0" applyNumberFormat="1" applyFont="1" applyFill="1" applyBorder="1"/>
    <xf numFmtId="3" fontId="23" fillId="0" borderId="20" xfId="0" applyNumberFormat="1" applyFont="1" applyFill="1" applyBorder="1"/>
    <xf numFmtId="3" fontId="21" fillId="0" borderId="22" xfId="0" applyNumberFormat="1" applyFont="1" applyFill="1" applyBorder="1"/>
    <xf numFmtId="3" fontId="56" fillId="0" borderId="19" xfId="0" applyNumberFormat="1" applyFont="1" applyBorder="1"/>
    <xf numFmtId="3" fontId="55" fillId="0" borderId="19" xfId="0" applyNumberFormat="1" applyFont="1" applyBorder="1"/>
    <xf numFmtId="0" fontId="55" fillId="23" borderId="18" xfId="38" applyFont="1" applyFill="1" applyBorder="1" applyAlignment="1">
      <alignment horizontal="center"/>
    </xf>
    <xf numFmtId="0" fontId="58" fillId="23" borderId="19" xfId="38" applyFont="1" applyFill="1" applyBorder="1" applyAlignment="1">
      <alignment horizontal="center"/>
    </xf>
    <xf numFmtId="0" fontId="55" fillId="23" borderId="19" xfId="38" applyFont="1" applyFill="1" applyBorder="1" applyAlignment="1">
      <alignment horizontal="center"/>
    </xf>
    <xf numFmtId="0" fontId="55" fillId="23" borderId="20" xfId="0" applyFont="1" applyFill="1" applyBorder="1" applyAlignment="1">
      <alignment horizontal="center"/>
    </xf>
    <xf numFmtId="0" fontId="52" fillId="0" borderId="72" xfId="38" applyFont="1" applyBorder="1" applyAlignment="1">
      <alignment horizontal="center"/>
    </xf>
    <xf numFmtId="0" fontId="52" fillId="0" borderId="73" xfId="38" applyFont="1" applyBorder="1" applyAlignment="1">
      <alignment horizontal="center"/>
    </xf>
    <xf numFmtId="0" fontId="52" fillId="26" borderId="74" xfId="38" applyFont="1" applyFill="1" applyBorder="1" applyAlignment="1">
      <alignment wrapText="1"/>
    </xf>
    <xf numFmtId="3" fontId="52" fillId="26" borderId="74" xfId="38" applyNumberFormat="1" applyFont="1" applyFill="1" applyBorder="1"/>
    <xf numFmtId="0" fontId="57" fillId="26" borderId="19" xfId="0" applyFont="1" applyFill="1" applyBorder="1"/>
    <xf numFmtId="0" fontId="57" fillId="0" borderId="75" xfId="38" applyFont="1" applyBorder="1"/>
    <xf numFmtId="0" fontId="57" fillId="0" borderId="74" xfId="38" applyFont="1" applyBorder="1"/>
    <xf numFmtId="3" fontId="57" fillId="0" borderId="74" xfId="38" applyNumberFormat="1" applyFont="1" applyBorder="1"/>
    <xf numFmtId="0" fontId="57" fillId="0" borderId="72" xfId="38" applyFont="1" applyBorder="1"/>
    <xf numFmtId="0" fontId="57" fillId="0" borderId="73" xfId="38" applyFont="1" applyBorder="1"/>
    <xf numFmtId="3" fontId="57" fillId="0" borderId="73" xfId="38" applyNumberFormat="1" applyFont="1" applyBorder="1"/>
    <xf numFmtId="0" fontId="52" fillId="26" borderId="19" xfId="38" applyFont="1" applyFill="1" applyBorder="1"/>
    <xf numFmtId="0" fontId="57" fillId="0" borderId="18" xfId="38" applyFont="1" applyBorder="1"/>
    <xf numFmtId="0" fontId="57" fillId="0" borderId="19" xfId="38" applyFont="1" applyBorder="1"/>
    <xf numFmtId="3" fontId="58" fillId="26" borderId="19" xfId="38" applyNumberFormat="1" applyFont="1" applyFill="1" applyBorder="1"/>
    <xf numFmtId="0" fontId="57" fillId="0" borderId="67" xfId="38" applyFont="1" applyBorder="1"/>
    <xf numFmtId="0" fontId="57" fillId="0" borderId="66" xfId="38" applyFont="1" applyBorder="1"/>
    <xf numFmtId="3" fontId="57" fillId="0" borderId="42" xfId="0" applyNumberFormat="1" applyFont="1" applyBorder="1"/>
    <xf numFmtId="0" fontId="62" fillId="0" borderId="32" xfId="0" applyFont="1" applyFill="1" applyBorder="1" applyAlignment="1">
      <alignment horizontal="center"/>
    </xf>
    <xf numFmtId="0" fontId="62" fillId="0" borderId="32" xfId="0" applyFont="1" applyBorder="1" applyAlignment="1">
      <alignment horizontal="right"/>
    </xf>
    <xf numFmtId="0" fontId="61" fillId="0" borderId="32" xfId="0" applyFont="1" applyBorder="1" applyAlignment="1">
      <alignment horizontal="right"/>
    </xf>
    <xf numFmtId="3" fontId="7" fillId="27" borderId="45" xfId="0" applyNumberFormat="1" applyFont="1" applyFill="1" applyBorder="1"/>
    <xf numFmtId="3" fontId="7" fillId="27" borderId="52" xfId="0" applyNumberFormat="1" applyFont="1" applyFill="1" applyBorder="1"/>
    <xf numFmtId="0" fontId="64" fillId="0" borderId="0" xfId="0" applyFont="1"/>
    <xf numFmtId="0" fontId="29" fillId="23" borderId="32" xfId="0" applyFont="1" applyFill="1" applyBorder="1" applyAlignment="1">
      <alignment horizontal="center" wrapText="1"/>
    </xf>
    <xf numFmtId="0" fontId="29" fillId="23" borderId="32" xfId="0" applyFont="1" applyFill="1" applyBorder="1" applyAlignment="1">
      <alignment horizontal="center"/>
    </xf>
    <xf numFmtId="0" fontId="64" fillId="0" borderId="32" xfId="0" applyFont="1" applyFill="1" applyBorder="1" applyAlignment="1">
      <alignment horizontal="right"/>
    </xf>
    <xf numFmtId="0" fontId="64" fillId="0" borderId="32" xfId="0" applyFont="1" applyBorder="1" applyAlignment="1">
      <alignment horizontal="right"/>
    </xf>
    <xf numFmtId="0" fontId="29" fillId="0" borderId="32" xfId="0" applyFont="1" applyBorder="1" applyAlignment="1">
      <alignment horizontal="right"/>
    </xf>
    <xf numFmtId="0" fontId="64" fillId="0" borderId="32" xfId="0" applyFont="1" applyFill="1" applyBorder="1" applyAlignment="1">
      <alignment horizontal="center"/>
    </xf>
    <xf numFmtId="0" fontId="29" fillId="0" borderId="32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57" fillId="27" borderId="26" xfId="38" applyFont="1" applyFill="1" applyBorder="1"/>
    <xf numFmtId="3" fontId="12" fillId="0" borderId="0" xfId="0" applyNumberFormat="1" applyFont="1"/>
    <xf numFmtId="3" fontId="1" fillId="0" borderId="20" xfId="26" applyNumberFormat="1" applyFill="1" applyBorder="1" applyAlignment="1">
      <alignment horizontal="right"/>
    </xf>
    <xf numFmtId="0" fontId="1" fillId="0" borderId="0" xfId="46"/>
    <xf numFmtId="3" fontId="1" fillId="0" borderId="0" xfId="46" applyNumberFormat="1"/>
    <xf numFmtId="3" fontId="1" fillId="0" borderId="18" xfId="26" applyNumberFormat="1" applyFill="1" applyBorder="1" applyAlignment="1">
      <alignment horizontal="right"/>
    </xf>
    <xf numFmtId="3" fontId="1" fillId="0" borderId="67" xfId="26" applyNumberFormat="1" applyFill="1" applyBorder="1" applyAlignment="1">
      <alignment horizontal="right"/>
    </xf>
    <xf numFmtId="0" fontId="5" fillId="0" borderId="24" xfId="46" applyFont="1" applyFill="1" applyBorder="1"/>
    <xf numFmtId="3" fontId="5" fillId="0" borderId="25" xfId="26" applyNumberFormat="1" applyFont="1" applyFill="1" applyBorder="1" applyAlignment="1">
      <alignment horizontal="right"/>
    </xf>
    <xf numFmtId="3" fontId="5" fillId="0" borderId="51" xfId="26" applyNumberFormat="1" applyFont="1" applyFill="1" applyBorder="1" applyAlignment="1">
      <alignment horizontal="right"/>
    </xf>
    <xf numFmtId="0" fontId="1" fillId="0" borderId="0" xfId="46" applyFill="1"/>
    <xf numFmtId="0" fontId="66" fillId="0" borderId="34" xfId="0" applyFont="1" applyFill="1" applyBorder="1"/>
    <xf numFmtId="164" fontId="65" fillId="0" borderId="76" xfId="26" applyNumberFormat="1" applyFont="1" applyBorder="1"/>
    <xf numFmtId="0" fontId="66" fillId="0" borderId="47" xfId="0" applyFont="1" applyBorder="1"/>
    <xf numFmtId="164" fontId="66" fillId="0" borderId="49" xfId="26" applyNumberFormat="1" applyFont="1" applyBorder="1"/>
    <xf numFmtId="0" fontId="65" fillId="0" borderId="18" xfId="0" applyFont="1" applyFill="1" applyBorder="1"/>
    <xf numFmtId="164" fontId="65" fillId="0" borderId="20" xfId="26" applyNumberFormat="1" applyFont="1" applyFill="1" applyBorder="1"/>
    <xf numFmtId="0" fontId="66" fillId="24" borderId="25" xfId="0" applyFont="1" applyFill="1" applyBorder="1"/>
    <xf numFmtId="164" fontId="66" fillId="24" borderId="51" xfId="26" applyNumberFormat="1" applyFont="1" applyFill="1" applyBorder="1"/>
    <xf numFmtId="0" fontId="67" fillId="24" borderId="28" xfId="0" applyFont="1" applyFill="1" applyBorder="1"/>
    <xf numFmtId="164" fontId="66" fillId="24" borderId="22" xfId="26" applyNumberFormat="1" applyFont="1" applyFill="1" applyBorder="1"/>
    <xf numFmtId="0" fontId="65" fillId="0" borderId="0" xfId="0" applyFont="1"/>
    <xf numFmtId="164" fontId="65" fillId="0" borderId="0" xfId="26" applyNumberFormat="1" applyFont="1"/>
    <xf numFmtId="3" fontId="14" fillId="0" borderId="0" xfId="0" applyNumberFormat="1" applyFont="1" applyAlignment="1">
      <alignment wrapText="1"/>
    </xf>
    <xf numFmtId="3" fontId="12" fillId="0" borderId="15" xfId="0" applyNumberFormat="1" applyFont="1" applyFill="1" applyBorder="1"/>
    <xf numFmtId="3" fontId="12" fillId="0" borderId="14" xfId="0" applyNumberFormat="1" applyFont="1" applyFill="1" applyBorder="1"/>
    <xf numFmtId="3" fontId="12" fillId="0" borderId="62" xfId="0" applyNumberFormat="1" applyFont="1" applyBorder="1"/>
    <xf numFmtId="3" fontId="5" fillId="0" borderId="62" xfId="0" applyNumberFormat="1" applyFont="1" applyBorder="1"/>
    <xf numFmtId="1" fontId="12" fillId="0" borderId="0" xfId="0" applyNumberFormat="1" applyFont="1"/>
    <xf numFmtId="0" fontId="68" fillId="0" borderId="0" xfId="0" applyFont="1"/>
    <xf numFmtId="0" fontId="21" fillId="0" borderId="0" xfId="0" applyFont="1" applyFill="1" applyAlignment="1">
      <alignment horizontal="justify"/>
    </xf>
    <xf numFmtId="165" fontId="12" fillId="0" borderId="0" xfId="0" applyNumberFormat="1" applyFont="1" applyFill="1" applyAlignment="1">
      <alignment horizontal="right"/>
    </xf>
    <xf numFmtId="0" fontId="21" fillId="0" borderId="19" xfId="0" applyFont="1" applyFill="1" applyBorder="1" applyAlignment="1">
      <alignment horizontal="justify"/>
    </xf>
    <xf numFmtId="165" fontId="68" fillId="0" borderId="19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 vertical="center" wrapText="1"/>
    </xf>
    <xf numFmtId="165" fontId="12" fillId="0" borderId="19" xfId="0" applyNumberFormat="1" applyFont="1" applyFill="1" applyBorder="1" applyAlignment="1">
      <alignment horizontal="right" vertical="center" wrapText="1"/>
    </xf>
    <xf numFmtId="0" fontId="21" fillId="0" borderId="58" xfId="0" applyFont="1" applyFill="1" applyBorder="1" applyAlignment="1">
      <alignment horizontal="justify"/>
    </xf>
    <xf numFmtId="165" fontId="68" fillId="0" borderId="64" xfId="0" applyNumberFormat="1" applyFont="1" applyFill="1" applyBorder="1" applyAlignment="1">
      <alignment horizontal="right"/>
    </xf>
    <xf numFmtId="165" fontId="68" fillId="0" borderId="19" xfId="0" applyNumberFormat="1" applyFont="1" applyFill="1" applyBorder="1" applyAlignment="1">
      <alignment horizontal="right" vertical="center" wrapText="1"/>
    </xf>
    <xf numFmtId="0" fontId="68" fillId="0" borderId="58" xfId="0" applyFont="1" applyFill="1" applyBorder="1" applyAlignment="1">
      <alignment vertical="center" wrapText="1"/>
    </xf>
    <xf numFmtId="165" fontId="68" fillId="0" borderId="64" xfId="0" applyNumberFormat="1" applyFont="1" applyFill="1" applyBorder="1" applyAlignment="1">
      <alignment horizontal="right" vertical="center" wrapText="1"/>
    </xf>
    <xf numFmtId="0" fontId="68" fillId="0" borderId="58" xfId="0" applyFont="1" applyFill="1" applyBorder="1" applyAlignment="1">
      <alignment horizontal="justify" vertical="top" wrapText="1"/>
    </xf>
    <xf numFmtId="165" fontId="68" fillId="0" borderId="64" xfId="0" applyNumberFormat="1" applyFont="1" applyFill="1" applyBorder="1" applyAlignment="1">
      <alignment horizontal="right" vertical="top" wrapText="1"/>
    </xf>
    <xf numFmtId="0" fontId="68" fillId="0" borderId="19" xfId="0" applyFont="1" applyFill="1" applyBorder="1" applyAlignment="1">
      <alignment horizontal="justify"/>
    </xf>
    <xf numFmtId="0" fontId="68" fillId="0" borderId="19" xfId="0" applyFont="1" applyFill="1" applyBorder="1" applyAlignment="1">
      <alignment horizontal="justify" vertical="center" wrapText="1"/>
    </xf>
    <xf numFmtId="0" fontId="12" fillId="0" borderId="19" xfId="0" applyFont="1" applyFill="1" applyBorder="1" applyAlignment="1">
      <alignment horizontal="justify"/>
    </xf>
    <xf numFmtId="165" fontId="12" fillId="0" borderId="0" xfId="0" applyNumberFormat="1" applyFont="1" applyFill="1" applyBorder="1" applyAlignment="1">
      <alignment horizontal="right" vertical="center" wrapText="1"/>
    </xf>
    <xf numFmtId="165" fontId="12" fillId="0" borderId="19" xfId="0" applyNumberFormat="1" applyFont="1" applyFill="1" applyBorder="1" applyAlignment="1">
      <alignment horizontal="right"/>
    </xf>
    <xf numFmtId="0" fontId="21" fillId="0" borderId="19" xfId="0" applyFont="1" applyFill="1" applyBorder="1" applyAlignment="1">
      <alignment horizontal="left"/>
    </xf>
    <xf numFmtId="165" fontId="5" fillId="0" borderId="19" xfId="0" applyNumberFormat="1" applyFont="1" applyFill="1" applyBorder="1" applyAlignment="1">
      <alignment horizontal="left"/>
    </xf>
    <xf numFmtId="3" fontId="55" fillId="23" borderId="77" xfId="0" applyNumberFormat="1" applyFont="1" applyFill="1" applyBorder="1"/>
    <xf numFmtId="0" fontId="73" fillId="23" borderId="77" xfId="0" applyFont="1" applyFill="1" applyBorder="1"/>
    <xf numFmtId="3" fontId="55" fillId="23" borderId="78" xfId="0" applyNumberFormat="1" applyFont="1" applyFill="1" applyBorder="1"/>
    <xf numFmtId="0" fontId="55" fillId="23" borderId="78" xfId="0" applyFont="1" applyFill="1" applyBorder="1"/>
    <xf numFmtId="0" fontId="56" fillId="0" borderId="19" xfId="0" applyFont="1" applyBorder="1"/>
    <xf numFmtId="3" fontId="56" fillId="0" borderId="0" xfId="0" applyNumberFormat="1" applyFont="1"/>
    <xf numFmtId="0" fontId="55" fillId="28" borderId="79" xfId="0" applyFont="1" applyFill="1" applyBorder="1"/>
    <xf numFmtId="3" fontId="55" fillId="23" borderId="80" xfId="0" applyNumberFormat="1" applyFont="1" applyFill="1" applyBorder="1"/>
    <xf numFmtId="3" fontId="55" fillId="27" borderId="19" xfId="0" applyNumberFormat="1" applyFont="1" applyFill="1" applyBorder="1"/>
    <xf numFmtId="3" fontId="56" fillId="27" borderId="19" xfId="0" applyNumberFormat="1" applyFont="1" applyFill="1" applyBorder="1"/>
    <xf numFmtId="3" fontId="55" fillId="23" borderId="81" xfId="0" applyNumberFormat="1" applyFont="1" applyFill="1" applyBorder="1"/>
    <xf numFmtId="0" fontId="73" fillId="23" borderId="82" xfId="0" applyFont="1" applyFill="1" applyBorder="1"/>
    <xf numFmtId="0" fontId="73" fillId="23" borderId="80" xfId="0" applyFont="1" applyFill="1" applyBorder="1"/>
    <xf numFmtId="0" fontId="55" fillId="27" borderId="19" xfId="0" applyFont="1" applyFill="1" applyBorder="1"/>
    <xf numFmtId="0" fontId="56" fillId="27" borderId="19" xfId="0" applyFont="1" applyFill="1" applyBorder="1"/>
    <xf numFmtId="3" fontId="53" fillId="0" borderId="0" xfId="45" applyNumberFormat="1" applyFont="1"/>
    <xf numFmtId="0" fontId="56" fillId="29" borderId="19" xfId="0" applyFont="1" applyFill="1" applyBorder="1"/>
    <xf numFmtId="3" fontId="55" fillId="29" borderId="19" xfId="0" applyNumberFormat="1" applyFont="1" applyFill="1" applyBorder="1"/>
    <xf numFmtId="3" fontId="55" fillId="0" borderId="78" xfId="0" applyNumberFormat="1" applyFont="1" applyFill="1" applyBorder="1"/>
    <xf numFmtId="0" fontId="55" fillId="0" borderId="78" xfId="0" applyFont="1" applyFill="1" applyBorder="1"/>
    <xf numFmtId="0" fontId="41" fillId="0" borderId="0" xfId="0" applyFont="1" applyFill="1"/>
    <xf numFmtId="0" fontId="53" fillId="0" borderId="0" xfId="45" applyFont="1" applyFill="1"/>
    <xf numFmtId="3" fontId="12" fillId="0" borderId="0" xfId="45" applyNumberFormat="1" applyFont="1" applyFill="1"/>
    <xf numFmtId="0" fontId="12" fillId="0" borderId="0" xfId="45" applyFont="1" applyFill="1"/>
    <xf numFmtId="3" fontId="56" fillId="0" borderId="83" xfId="0" applyNumberFormat="1" applyFont="1" applyFill="1" applyBorder="1"/>
    <xf numFmtId="0" fontId="56" fillId="0" borderId="83" xfId="0" applyFont="1" applyFill="1" applyBorder="1" applyAlignment="1">
      <alignment horizontal="right"/>
    </xf>
    <xf numFmtId="3" fontId="55" fillId="30" borderId="78" xfId="0" applyNumberFormat="1" applyFont="1" applyFill="1" applyBorder="1"/>
    <xf numFmtId="0" fontId="55" fillId="30" borderId="78" xfId="0" applyFont="1" applyFill="1" applyBorder="1"/>
    <xf numFmtId="0" fontId="55" fillId="30" borderId="84" xfId="0" applyFont="1" applyFill="1" applyBorder="1"/>
    <xf numFmtId="3" fontId="55" fillId="30" borderId="85" xfId="0" applyNumberFormat="1" applyFont="1" applyFill="1" applyBorder="1"/>
    <xf numFmtId="0" fontId="5" fillId="0" borderId="46" xfId="0" applyFont="1" applyBorder="1" applyAlignment="1">
      <alignment horizontal="center"/>
    </xf>
    <xf numFmtId="164" fontId="12" fillId="0" borderId="0" xfId="26" applyNumberFormat="1" applyFont="1"/>
    <xf numFmtId="9" fontId="12" fillId="0" borderId="0" xfId="51" applyFont="1"/>
    <xf numFmtId="0" fontId="74" fillId="0" borderId="0" xfId="0" applyFont="1"/>
    <xf numFmtId="0" fontId="74" fillId="0" borderId="0" xfId="0" applyFont="1" applyAlignment="1">
      <alignment horizontal="center"/>
    </xf>
    <xf numFmtId="3" fontId="74" fillId="0" borderId="0" xfId="0" applyNumberFormat="1" applyFont="1"/>
    <xf numFmtId="0" fontId="74" fillId="0" borderId="0" xfId="0" applyFont="1" applyFill="1"/>
    <xf numFmtId="3" fontId="76" fillId="0" borderId="0" xfId="0" applyNumberFormat="1" applyFont="1" applyAlignment="1">
      <alignment horizontal="right"/>
    </xf>
    <xf numFmtId="3" fontId="74" fillId="0" borderId="0" xfId="0" applyNumberFormat="1" applyFont="1" applyFill="1"/>
    <xf numFmtId="0" fontId="77" fillId="0" borderId="47" xfId="44" applyFont="1" applyFill="1" applyBorder="1" applyAlignment="1"/>
    <xf numFmtId="0" fontId="77" fillId="0" borderId="48" xfId="44" applyFont="1" applyFill="1" applyBorder="1" applyAlignment="1">
      <alignment horizontal="center"/>
    </xf>
    <xf numFmtId="3" fontId="77" fillId="0" borderId="48" xfId="0" applyNumberFormat="1" applyFont="1" applyFill="1" applyBorder="1"/>
    <xf numFmtId="3" fontId="77" fillId="0" borderId="49" xfId="0" applyNumberFormat="1" applyFont="1" applyFill="1" applyBorder="1"/>
    <xf numFmtId="3" fontId="77" fillId="0" borderId="59" xfId="0" applyNumberFormat="1" applyFont="1" applyFill="1" applyBorder="1"/>
    <xf numFmtId="3" fontId="77" fillId="0" borderId="47" xfId="0" applyNumberFormat="1" applyFont="1" applyFill="1" applyBorder="1"/>
    <xf numFmtId="0" fontId="78" fillId="0" borderId="18" xfId="44" applyFont="1" applyFill="1" applyBorder="1" applyAlignment="1">
      <alignment horizontal="left" indent="1"/>
    </xf>
    <xf numFmtId="0" fontId="78" fillId="0" borderId="19" xfId="44" applyFont="1" applyFill="1" applyBorder="1" applyAlignment="1">
      <alignment horizontal="center"/>
    </xf>
    <xf numFmtId="3" fontId="78" fillId="0" borderId="19" xfId="0" applyNumberFormat="1" applyFont="1" applyFill="1" applyBorder="1"/>
    <xf numFmtId="3" fontId="78" fillId="0" borderId="20" xfId="0" applyNumberFormat="1" applyFont="1" applyFill="1" applyBorder="1"/>
    <xf numFmtId="3" fontId="78" fillId="0" borderId="58" xfId="0" applyNumberFormat="1" applyFont="1" applyFill="1" applyBorder="1"/>
    <xf numFmtId="3" fontId="78" fillId="0" borderId="18" xfId="0" applyNumberFormat="1" applyFont="1" applyFill="1" applyBorder="1"/>
    <xf numFmtId="3" fontId="77" fillId="0" borderId="20" xfId="0" applyNumberFormat="1" applyFont="1" applyFill="1" applyBorder="1"/>
    <xf numFmtId="0" fontId="79" fillId="0" borderId="18" xfId="44" applyFont="1" applyFill="1" applyBorder="1" applyAlignment="1">
      <alignment horizontal="left" vertical="center" wrapText="1" indent="3"/>
    </xf>
    <xf numFmtId="0" fontId="79" fillId="0" borderId="19" xfId="44" applyFont="1" applyFill="1" applyBorder="1" applyAlignment="1">
      <alignment horizontal="center" vertical="center" wrapText="1"/>
    </xf>
    <xf numFmtId="3" fontId="79" fillId="0" borderId="19" xfId="0" applyNumberFormat="1" applyFont="1" applyFill="1" applyBorder="1"/>
    <xf numFmtId="3" fontId="79" fillId="0" borderId="20" xfId="0" applyNumberFormat="1" applyFont="1" applyFill="1" applyBorder="1"/>
    <xf numFmtId="3" fontId="79" fillId="0" borderId="58" xfId="0" applyNumberFormat="1" applyFont="1" applyFill="1" applyBorder="1"/>
    <xf numFmtId="3" fontId="79" fillId="0" borderId="18" xfId="0" applyNumberFormat="1" applyFont="1" applyFill="1" applyBorder="1"/>
    <xf numFmtId="0" fontId="79" fillId="0" borderId="18" xfId="44" applyFont="1" applyFill="1" applyBorder="1" applyAlignment="1">
      <alignment horizontal="left" indent="4"/>
    </xf>
    <xf numFmtId="0" fontId="79" fillId="0" borderId="19" xfId="44" applyFont="1" applyFill="1" applyBorder="1" applyAlignment="1">
      <alignment horizontal="center"/>
    </xf>
    <xf numFmtId="3" fontId="79" fillId="0" borderId="86" xfId="0" applyNumberFormat="1" applyFont="1" applyFill="1" applyBorder="1"/>
    <xf numFmtId="0" fontId="79" fillId="0" borderId="18" xfId="44" applyFont="1" applyFill="1" applyBorder="1" applyAlignment="1">
      <alignment horizontal="left" vertical="center" indent="3"/>
    </xf>
    <xf numFmtId="0" fontId="79" fillId="0" borderId="19" xfId="44" applyFont="1" applyFill="1" applyBorder="1" applyAlignment="1">
      <alignment horizontal="center" vertical="center"/>
    </xf>
    <xf numFmtId="0" fontId="79" fillId="0" borderId="18" xfId="44" applyFont="1" applyFill="1" applyBorder="1" applyAlignment="1">
      <alignment horizontal="left" vertical="center" indent="5"/>
    </xf>
    <xf numFmtId="0" fontId="79" fillId="0" borderId="18" xfId="44" applyFont="1" applyFill="1" applyBorder="1" applyAlignment="1">
      <alignment horizontal="left" indent="2"/>
    </xf>
    <xf numFmtId="0" fontId="77" fillId="0" borderId="18" xfId="44" applyFont="1" applyFill="1" applyBorder="1" applyAlignment="1"/>
    <xf numFmtId="0" fontId="77" fillId="0" borderId="19" xfId="44" applyFont="1" applyFill="1" applyBorder="1" applyAlignment="1">
      <alignment horizontal="center"/>
    </xf>
    <xf numFmtId="0" fontId="79" fillId="0" borderId="27" xfId="44" applyFont="1" applyFill="1" applyBorder="1" applyAlignment="1">
      <alignment horizontal="left" indent="4"/>
    </xf>
    <xf numFmtId="0" fontId="79" fillId="0" borderId="50" xfId="44" applyFont="1" applyFill="1" applyBorder="1" applyAlignment="1">
      <alignment horizontal="center"/>
    </xf>
    <xf numFmtId="3" fontId="79" fillId="0" borderId="50" xfId="0" applyNumberFormat="1" applyFont="1" applyFill="1" applyBorder="1"/>
    <xf numFmtId="3" fontId="79" fillId="0" borderId="52" xfId="0" applyNumberFormat="1" applyFont="1" applyFill="1" applyBorder="1"/>
    <xf numFmtId="3" fontId="79" fillId="0" borderId="70" xfId="0" applyNumberFormat="1" applyFont="1" applyFill="1" applyBorder="1"/>
    <xf numFmtId="3" fontId="79" fillId="0" borderId="27" xfId="0" applyNumberFormat="1" applyFont="1" applyFill="1" applyBorder="1"/>
    <xf numFmtId="3" fontId="79" fillId="0" borderId="87" xfId="0" applyNumberFormat="1" applyFont="1" applyFill="1" applyBorder="1"/>
    <xf numFmtId="3" fontId="78" fillId="0" borderId="67" xfId="0" applyNumberFormat="1" applyFont="1" applyFill="1" applyBorder="1"/>
    <xf numFmtId="3" fontId="77" fillId="0" borderId="42" xfId="0" applyNumberFormat="1" applyFont="1" applyFill="1" applyBorder="1"/>
    <xf numFmtId="3" fontId="77" fillId="0" borderId="16" xfId="44" applyNumberFormat="1" applyFont="1" applyFill="1" applyBorder="1" applyAlignment="1"/>
    <xf numFmtId="3" fontId="77" fillId="0" borderId="16" xfId="44" applyNumberFormat="1" applyFont="1" applyFill="1" applyBorder="1" applyAlignment="1">
      <alignment horizontal="center"/>
    </xf>
    <xf numFmtId="3" fontId="77" fillId="0" borderId="16" xfId="0" applyNumberFormat="1" applyFont="1" applyFill="1" applyBorder="1"/>
    <xf numFmtId="3" fontId="77" fillId="0" borderId="24" xfId="0" applyNumberFormat="1" applyFont="1" applyFill="1" applyBorder="1"/>
    <xf numFmtId="3" fontId="77" fillId="0" borderId="25" xfId="0" applyNumberFormat="1" applyFont="1" applyFill="1" applyBorder="1"/>
    <xf numFmtId="3" fontId="78" fillId="0" borderId="16" xfId="0" applyNumberFormat="1" applyFont="1" applyFill="1" applyBorder="1"/>
    <xf numFmtId="3" fontId="77" fillId="0" borderId="50" xfId="0" applyNumberFormat="1" applyFont="1" applyBorder="1" applyAlignment="1">
      <alignment horizontal="center" vertical="center" wrapText="1"/>
    </xf>
    <xf numFmtId="3" fontId="77" fillId="0" borderId="48" xfId="0" applyNumberFormat="1" applyFont="1" applyBorder="1" applyAlignment="1"/>
    <xf numFmtId="3" fontId="77" fillId="0" borderId="49" xfId="0" applyNumberFormat="1" applyFont="1" applyFill="1" applyBorder="1" applyAlignment="1"/>
    <xf numFmtId="3" fontId="77" fillId="0" borderId="49" xfId="0" applyNumberFormat="1" applyFont="1" applyBorder="1" applyAlignment="1"/>
    <xf numFmtId="3" fontId="77" fillId="0" borderId="59" xfId="0" applyNumberFormat="1" applyFont="1" applyFill="1" applyBorder="1" applyAlignment="1"/>
    <xf numFmtId="3" fontId="78" fillId="0" borderId="19" xfId="0" applyNumberFormat="1" applyFont="1" applyBorder="1" applyAlignment="1"/>
    <xf numFmtId="3" fontId="78" fillId="0" borderId="20" xfId="0" applyNumberFormat="1" applyFont="1" applyFill="1" applyBorder="1" applyAlignment="1"/>
    <xf numFmtId="3" fontId="78" fillId="0" borderId="20" xfId="0" applyNumberFormat="1" applyFont="1" applyBorder="1" applyAlignment="1"/>
    <xf numFmtId="3" fontId="78" fillId="0" borderId="58" xfId="0" applyNumberFormat="1" applyFont="1" applyFill="1" applyBorder="1" applyAlignment="1"/>
    <xf numFmtId="3" fontId="77" fillId="0" borderId="20" xfId="0" applyNumberFormat="1" applyFont="1" applyBorder="1"/>
    <xf numFmtId="3" fontId="79" fillId="0" borderId="19" xfId="0" applyNumberFormat="1" applyFont="1" applyBorder="1" applyAlignment="1"/>
    <xf numFmtId="3" fontId="79" fillId="0" borderId="20" xfId="0" applyNumberFormat="1" applyFont="1" applyFill="1" applyBorder="1" applyAlignment="1"/>
    <xf numFmtId="3" fontId="79" fillId="0" borderId="20" xfId="0" applyNumberFormat="1" applyFont="1" applyBorder="1" applyAlignment="1"/>
    <xf numFmtId="3" fontId="79" fillId="0" borderId="58" xfId="0" applyNumberFormat="1" applyFont="1" applyFill="1" applyBorder="1" applyAlignment="1"/>
    <xf numFmtId="3" fontId="77" fillId="0" borderId="19" xfId="0" applyNumberFormat="1" applyFont="1" applyBorder="1" applyAlignment="1"/>
    <xf numFmtId="3" fontId="77" fillId="0" borderId="20" xfId="0" applyNumberFormat="1" applyFont="1" applyFill="1" applyBorder="1" applyAlignment="1"/>
    <xf numFmtId="3" fontId="77" fillId="0" borderId="20" xfId="0" applyNumberFormat="1" applyFont="1" applyBorder="1" applyAlignment="1"/>
    <xf numFmtId="3" fontId="77" fillId="0" borderId="58" xfId="0" applyNumberFormat="1" applyFont="1" applyFill="1" applyBorder="1" applyAlignment="1"/>
    <xf numFmtId="0" fontId="79" fillId="0" borderId="27" xfId="44" applyFont="1" applyFill="1" applyBorder="1" applyAlignment="1">
      <alignment horizontal="left" indent="2"/>
    </xf>
    <xf numFmtId="3" fontId="79" fillId="0" borderId="50" xfId="0" applyNumberFormat="1" applyFont="1" applyBorder="1" applyAlignment="1"/>
    <xf numFmtId="3" fontId="79" fillId="0" borderId="52" xfId="0" applyNumberFormat="1" applyFont="1" applyFill="1" applyBorder="1" applyAlignment="1"/>
    <xf numFmtId="3" fontId="79" fillId="0" borderId="52" xfId="0" applyNumberFormat="1" applyFont="1" applyBorder="1" applyAlignment="1"/>
    <xf numFmtId="3" fontId="79" fillId="0" borderId="70" xfId="0" applyNumberFormat="1" applyFont="1" applyFill="1" applyBorder="1" applyAlignment="1"/>
    <xf numFmtId="3" fontId="78" fillId="0" borderId="52" xfId="0" applyNumberFormat="1" applyFont="1" applyBorder="1"/>
    <xf numFmtId="3" fontId="77" fillId="0" borderId="16" xfId="0" applyNumberFormat="1" applyFont="1" applyBorder="1" applyAlignment="1"/>
    <xf numFmtId="3" fontId="77" fillId="0" borderId="16" xfId="0" applyNumberFormat="1" applyFont="1" applyFill="1" applyBorder="1" applyAlignment="1"/>
    <xf numFmtId="3" fontId="77" fillId="0" borderId="24" xfId="0" applyNumberFormat="1" applyFont="1" applyFill="1" applyBorder="1" applyAlignment="1"/>
    <xf numFmtId="3" fontId="77" fillId="0" borderId="16" xfId="0" applyNumberFormat="1" applyFont="1" applyBorder="1"/>
    <xf numFmtId="0" fontId="28" fillId="0" borderId="66" xfId="0" applyFont="1" applyBorder="1"/>
    <xf numFmtId="0" fontId="28" fillId="0" borderId="19" xfId="0" applyFont="1" applyBorder="1"/>
    <xf numFmtId="0" fontId="28" fillId="0" borderId="20" xfId="0" applyFont="1" applyBorder="1"/>
    <xf numFmtId="3" fontId="80" fillId="0" borderId="19" xfId="0" applyNumberFormat="1" applyFont="1" applyBorder="1"/>
    <xf numFmtId="0" fontId="80" fillId="0" borderId="19" xfId="0" applyFont="1" applyBorder="1"/>
    <xf numFmtId="0" fontId="81" fillId="0" borderId="19" xfId="0" applyFont="1" applyBorder="1"/>
    <xf numFmtId="0" fontId="81" fillId="0" borderId="20" xfId="0" applyFont="1" applyBorder="1"/>
    <xf numFmtId="0" fontId="82" fillId="0" borderId="0" xfId="0" applyFont="1"/>
    <xf numFmtId="0" fontId="80" fillId="0" borderId="75" xfId="38" applyFont="1" applyBorder="1"/>
    <xf numFmtId="0" fontId="80" fillId="0" borderId="74" xfId="38" applyFont="1" applyBorder="1"/>
    <xf numFmtId="3" fontId="80" fillId="0" borderId="74" xfId="38" applyNumberFormat="1" applyFont="1" applyBorder="1"/>
    <xf numFmtId="0" fontId="57" fillId="0" borderId="75" xfId="38" applyFont="1" applyFill="1" applyBorder="1"/>
    <xf numFmtId="0" fontId="83" fillId="0" borderId="74" xfId="38" applyFont="1" applyBorder="1"/>
    <xf numFmtId="3" fontId="57" fillId="0" borderId="74" xfId="38" applyNumberFormat="1" applyFont="1" applyFill="1" applyBorder="1"/>
    <xf numFmtId="3" fontId="57" fillId="0" borderId="19" xfId="0" applyNumberFormat="1" applyFont="1" applyFill="1" applyBorder="1"/>
    <xf numFmtId="0" fontId="83" fillId="0" borderId="19" xfId="0" applyFont="1" applyBorder="1"/>
    <xf numFmtId="0" fontId="84" fillId="0" borderId="19" xfId="0" applyFont="1" applyBorder="1"/>
    <xf numFmtId="0" fontId="84" fillId="0" borderId="20" xfId="0" applyFont="1" applyBorder="1"/>
    <xf numFmtId="0" fontId="63" fillId="0" borderId="0" xfId="0" applyFont="1"/>
    <xf numFmtId="0" fontId="57" fillId="0" borderId="74" xfId="38" applyFont="1" applyFill="1" applyBorder="1"/>
    <xf numFmtId="0" fontId="28" fillId="0" borderId="19" xfId="0" applyFont="1" applyFill="1" applyBorder="1"/>
    <xf numFmtId="0" fontId="28" fillId="0" borderId="20" xfId="0" applyFont="1" applyFill="1" applyBorder="1"/>
    <xf numFmtId="0" fontId="52" fillId="26" borderId="75" xfId="38" applyFont="1" applyFill="1" applyBorder="1" applyAlignment="1">
      <alignment vertical="center" wrapText="1"/>
    </xf>
    <xf numFmtId="0" fontId="28" fillId="26" borderId="19" xfId="0" applyFont="1" applyFill="1" applyBorder="1"/>
    <xf numFmtId="0" fontId="28" fillId="26" borderId="20" xfId="0" applyFont="1" applyFill="1" applyBorder="1"/>
    <xf numFmtId="0" fontId="52" fillId="0" borderId="75" xfId="38" applyFont="1" applyFill="1" applyBorder="1"/>
    <xf numFmtId="3" fontId="52" fillId="0" borderId="74" xfId="38" applyNumberFormat="1" applyFont="1" applyFill="1" applyBorder="1"/>
    <xf numFmtId="3" fontId="52" fillId="0" borderId="19" xfId="0" applyNumberFormat="1" applyFont="1" applyFill="1" applyBorder="1"/>
    <xf numFmtId="0" fontId="57" fillId="0" borderId="87" xfId="38" applyFont="1" applyBorder="1"/>
    <xf numFmtId="0" fontId="52" fillId="26" borderId="18" xfId="38" applyFont="1" applyFill="1" applyBorder="1" applyAlignment="1">
      <alignment wrapText="1"/>
    </xf>
    <xf numFmtId="0" fontId="52" fillId="31" borderId="67" xfId="38" applyFont="1" applyFill="1" applyBorder="1"/>
    <xf numFmtId="0" fontId="57" fillId="31" borderId="66" xfId="38" applyFont="1" applyFill="1" applyBorder="1"/>
    <xf numFmtId="3" fontId="85" fillId="31" borderId="66" xfId="38" applyNumberFormat="1" applyFont="1" applyFill="1" applyBorder="1"/>
    <xf numFmtId="0" fontId="86" fillId="31" borderId="66" xfId="0" applyFont="1" applyFill="1" applyBorder="1"/>
    <xf numFmtId="3" fontId="52" fillId="31" borderId="42" xfId="0" applyNumberFormat="1" applyFont="1" applyFill="1" applyBorder="1"/>
    <xf numFmtId="0" fontId="55" fillId="32" borderId="25" xfId="38" applyFont="1" applyFill="1" applyBorder="1"/>
    <xf numFmtId="0" fontId="55" fillId="32" borderId="88" xfId="38" applyFont="1" applyFill="1" applyBorder="1"/>
    <xf numFmtId="3" fontId="54" fillId="32" borderId="88" xfId="39" applyNumberFormat="1" applyFont="1" applyFill="1" applyBorder="1"/>
    <xf numFmtId="0" fontId="28" fillId="0" borderId="0" xfId="0" applyFont="1"/>
    <xf numFmtId="3" fontId="87" fillId="0" borderId="0" xfId="0" applyNumberFormat="1" applyFont="1"/>
    <xf numFmtId="3" fontId="28" fillId="0" borderId="0" xfId="0" applyNumberFormat="1" applyFont="1"/>
    <xf numFmtId="3" fontId="89" fillId="0" borderId="0" xfId="0" applyNumberFormat="1" applyFont="1" applyFill="1" applyBorder="1"/>
    <xf numFmtId="3" fontId="16" fillId="0" borderId="19" xfId="0" applyNumberFormat="1" applyFont="1" applyBorder="1"/>
    <xf numFmtId="9" fontId="16" fillId="0" borderId="19" xfId="51" applyFont="1" applyBorder="1"/>
    <xf numFmtId="0" fontId="14" fillId="0" borderId="19" xfId="0" applyFont="1" applyBorder="1"/>
    <xf numFmtId="3" fontId="17" fillId="0" borderId="19" xfId="0" applyNumberFormat="1" applyFont="1" applyFill="1" applyBorder="1"/>
    <xf numFmtId="9" fontId="17" fillId="0" borderId="19" xfId="51" applyFont="1" applyFill="1" applyBorder="1"/>
    <xf numFmtId="3" fontId="2" fillId="0" borderId="19" xfId="0" applyNumberFormat="1" applyFont="1" applyFill="1" applyBorder="1" applyAlignment="1">
      <alignment horizontal="right"/>
    </xf>
    <xf numFmtId="9" fontId="2" fillId="0" borderId="19" xfId="51" applyFont="1" applyFill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9" fontId="2" fillId="0" borderId="19" xfId="51" applyFont="1" applyBorder="1" applyAlignment="1">
      <alignment horizontal="right"/>
    </xf>
    <xf numFmtId="0" fontId="16" fillId="0" borderId="19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9" fontId="5" fillId="0" borderId="19" xfId="51" applyFont="1" applyBorder="1" applyAlignment="1">
      <alignment horizontal="center" wrapText="1"/>
    </xf>
    <xf numFmtId="0" fontId="16" fillId="0" borderId="19" xfId="0" applyFont="1" applyBorder="1" applyAlignment="1">
      <alignment horizontal="center"/>
    </xf>
    <xf numFmtId="0" fontId="16" fillId="0" borderId="19" xfId="0" applyFont="1" applyBorder="1"/>
    <xf numFmtId="0" fontId="17" fillId="0" borderId="19" xfId="0" applyFont="1" applyBorder="1" applyAlignment="1">
      <alignment horizontal="center"/>
    </xf>
    <xf numFmtId="9" fontId="17" fillId="0" borderId="19" xfId="51" applyFont="1" applyBorder="1" applyAlignment="1">
      <alignment horizontal="center"/>
    </xf>
    <xf numFmtId="9" fontId="16" fillId="0" borderId="19" xfId="51" applyFont="1" applyBorder="1" applyAlignment="1">
      <alignment horizontal="center"/>
    </xf>
    <xf numFmtId="3" fontId="16" fillId="0" borderId="19" xfId="0" applyNumberFormat="1" applyFont="1" applyFill="1" applyBorder="1"/>
    <xf numFmtId="9" fontId="16" fillId="0" borderId="19" xfId="51" applyFont="1" applyFill="1" applyBorder="1"/>
    <xf numFmtId="0" fontId="2" fillId="0" borderId="19" xfId="0" applyFont="1" applyBorder="1"/>
    <xf numFmtId="0" fontId="17" fillId="0" borderId="19" xfId="0" applyFont="1" applyBorder="1"/>
    <xf numFmtId="3" fontId="2" fillId="0" borderId="19" xfId="0" applyNumberFormat="1" applyFont="1" applyBorder="1"/>
    <xf numFmtId="9" fontId="2" fillId="0" borderId="19" xfId="51" applyFont="1" applyBorder="1"/>
    <xf numFmtId="0" fontId="16" fillId="22" borderId="19" xfId="0" applyFont="1" applyFill="1" applyBorder="1"/>
    <xf numFmtId="3" fontId="16" fillId="22" borderId="19" xfId="0" applyNumberFormat="1" applyFont="1" applyFill="1" applyBorder="1"/>
    <xf numFmtId="9" fontId="16" fillId="22" borderId="19" xfId="51" applyFont="1" applyFill="1" applyBorder="1"/>
    <xf numFmtId="0" fontId="2" fillId="0" borderId="0" xfId="0" applyFont="1"/>
    <xf numFmtId="3" fontId="2" fillId="0" borderId="0" xfId="0" applyNumberFormat="1" applyFont="1"/>
    <xf numFmtId="3" fontId="2" fillId="0" borderId="19" xfId="0" applyNumberFormat="1" applyFont="1" applyFill="1" applyBorder="1"/>
    <xf numFmtId="9" fontId="2" fillId="0" borderId="19" xfId="51" applyFont="1" applyFill="1" applyBorder="1"/>
    <xf numFmtId="3" fontId="17" fillId="0" borderId="19" xfId="0" applyNumberFormat="1" applyFont="1" applyBorder="1" applyAlignment="1">
      <alignment horizontal="right"/>
    </xf>
    <xf numFmtId="9" fontId="17" fillId="0" borderId="19" xfId="51" applyFont="1" applyBorder="1" applyAlignment="1">
      <alignment horizontal="right"/>
    </xf>
    <xf numFmtId="3" fontId="17" fillId="0" borderId="0" xfId="0" applyNumberFormat="1" applyFont="1"/>
    <xf numFmtId="0" fontId="2" fillId="0" borderId="19" xfId="0" applyFont="1" applyFill="1" applyBorder="1" applyAlignment="1">
      <alignment horizontal="left"/>
    </xf>
    <xf numFmtId="0" fontId="17" fillId="0" borderId="19" xfId="0" applyFont="1" applyFill="1" applyBorder="1"/>
    <xf numFmtId="0" fontId="16" fillId="33" borderId="19" xfId="0" applyFont="1" applyFill="1" applyBorder="1"/>
    <xf numFmtId="3" fontId="16" fillId="33" borderId="19" xfId="0" applyNumberFormat="1" applyFont="1" applyFill="1" applyBorder="1"/>
    <xf numFmtId="9" fontId="16" fillId="33" borderId="19" xfId="51" applyFont="1" applyFill="1" applyBorder="1"/>
    <xf numFmtId="0" fontId="8" fillId="0" borderId="89" xfId="0" applyFont="1" applyBorder="1" applyAlignment="1">
      <alignment horizontal="center"/>
    </xf>
    <xf numFmtId="3" fontId="7" fillId="0" borderId="18" xfId="0" applyNumberFormat="1" applyFont="1" applyBorder="1"/>
    <xf numFmtId="0" fontId="8" fillId="0" borderId="28" xfId="0" applyFont="1" applyBorder="1" applyAlignment="1"/>
    <xf numFmtId="0" fontId="21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3" fontId="8" fillId="0" borderId="34" xfId="0" applyNumberFormat="1" applyFont="1" applyBorder="1" applyAlignment="1"/>
    <xf numFmtId="3" fontId="21" fillId="0" borderId="25" xfId="0" applyNumberFormat="1" applyFont="1" applyBorder="1" applyAlignment="1">
      <alignment vertical="center"/>
    </xf>
    <xf numFmtId="3" fontId="8" fillId="0" borderId="51" xfId="0" applyNumberFormat="1" applyFont="1" applyBorder="1" applyAlignment="1">
      <alignment vertical="center"/>
    </xf>
    <xf numFmtId="0" fontId="21" fillId="0" borderId="47" xfId="44" applyFont="1" applyFill="1" applyBorder="1" applyAlignment="1"/>
    <xf numFmtId="3" fontId="8" fillId="0" borderId="45" xfId="0" applyNumberFormat="1" applyFont="1" applyBorder="1"/>
    <xf numFmtId="0" fontId="77" fillId="0" borderId="57" xfId="44" applyFont="1" applyFill="1" applyBorder="1" applyAlignment="1">
      <alignment horizontal="center"/>
    </xf>
    <xf numFmtId="0" fontId="8" fillId="0" borderId="18" xfId="44" applyFont="1" applyFill="1" applyBorder="1" applyAlignment="1">
      <alignment horizontal="left" indent="1"/>
    </xf>
    <xf numFmtId="3" fontId="8" fillId="0" borderId="20" xfId="0" applyNumberFormat="1" applyFont="1" applyBorder="1"/>
    <xf numFmtId="0" fontId="7" fillId="0" borderId="19" xfId="44" applyFont="1" applyFill="1" applyBorder="1" applyAlignment="1">
      <alignment horizontal="center" vertical="center" wrapText="1"/>
    </xf>
    <xf numFmtId="0" fontId="7" fillId="0" borderId="18" xfId="44" applyFont="1" applyFill="1" applyBorder="1" applyAlignment="1">
      <alignment horizontal="left" vertical="center" wrapText="1" indent="3"/>
    </xf>
    <xf numFmtId="0" fontId="7" fillId="0" borderId="19" xfId="44" applyFont="1" applyFill="1" applyBorder="1" applyAlignment="1">
      <alignment horizontal="center"/>
    </xf>
    <xf numFmtId="0" fontId="7" fillId="0" borderId="18" xfId="44" applyFont="1" applyFill="1" applyBorder="1" applyAlignment="1">
      <alignment horizontal="left" indent="4"/>
    </xf>
    <xf numFmtId="0" fontId="7" fillId="0" borderId="19" xfId="44" applyFont="1" applyFill="1" applyBorder="1" applyAlignment="1">
      <alignment horizontal="center" vertical="center"/>
    </xf>
    <xf numFmtId="0" fontId="7" fillId="0" borderId="18" xfId="44" applyFont="1" applyFill="1" applyBorder="1" applyAlignment="1">
      <alignment horizontal="left" vertical="center" indent="3"/>
    </xf>
    <xf numFmtId="0" fontId="8" fillId="0" borderId="19" xfId="44" applyFont="1" applyFill="1" applyBorder="1" applyAlignment="1">
      <alignment horizontal="center"/>
    </xf>
    <xf numFmtId="0" fontId="7" fillId="0" borderId="18" xfId="44" applyFont="1" applyFill="1" applyBorder="1" applyAlignment="1">
      <alignment horizontal="left" vertical="center" indent="5"/>
    </xf>
    <xf numFmtId="0" fontId="7" fillId="0" borderId="18" xfId="44" applyFont="1" applyFill="1" applyBorder="1" applyAlignment="1">
      <alignment horizontal="left" indent="2"/>
    </xf>
    <xf numFmtId="0" fontId="21" fillId="0" borderId="19" xfId="44" applyFont="1" applyFill="1" applyBorder="1" applyAlignment="1">
      <alignment horizontal="center"/>
    </xf>
    <xf numFmtId="0" fontId="21" fillId="0" borderId="18" xfId="44" applyFont="1" applyFill="1" applyBorder="1" applyAlignment="1"/>
    <xf numFmtId="3" fontId="7" fillId="0" borderId="23" xfId="0" applyNumberFormat="1" applyFont="1" applyBorder="1"/>
    <xf numFmtId="3" fontId="8" fillId="0" borderId="24" xfId="0" applyNumberFormat="1" applyFont="1" applyBorder="1" applyAlignment="1"/>
    <xf numFmtId="3" fontId="8" fillId="0" borderId="51" xfId="0" applyNumberFormat="1" applyFont="1" applyFill="1" applyBorder="1" applyAlignment="1">
      <alignment vertical="center"/>
    </xf>
    <xf numFmtId="0" fontId="21" fillId="0" borderId="48" xfId="44" applyFont="1" applyFill="1" applyBorder="1" applyAlignment="1">
      <alignment horizontal="center"/>
    </xf>
    <xf numFmtId="3" fontId="8" fillId="27" borderId="49" xfId="0" applyNumberFormat="1" applyFont="1" applyFill="1" applyBorder="1"/>
    <xf numFmtId="3" fontId="8" fillId="27" borderId="45" xfId="0" applyNumberFormat="1" applyFont="1" applyFill="1" applyBorder="1"/>
    <xf numFmtId="3" fontId="8" fillId="0" borderId="45" xfId="0" applyNumberFormat="1" applyFont="1" applyFill="1" applyBorder="1"/>
    <xf numFmtId="3" fontId="7" fillId="0" borderId="45" xfId="0" applyNumberFormat="1" applyFont="1" applyFill="1" applyBorder="1"/>
    <xf numFmtId="3" fontId="27" fillId="0" borderId="45" xfId="0" applyNumberFormat="1" applyFont="1" applyFill="1" applyBorder="1"/>
    <xf numFmtId="3" fontId="12" fillId="0" borderId="16" xfId="0" applyNumberFormat="1" applyFont="1" applyBorder="1"/>
    <xf numFmtId="164" fontId="9" fillId="0" borderId="0" xfId="26" applyNumberFormat="1" applyFont="1"/>
    <xf numFmtId="9" fontId="9" fillId="0" borderId="0" xfId="51" applyFont="1"/>
    <xf numFmtId="2" fontId="9" fillId="0" borderId="33" xfId="0" applyNumberFormat="1" applyFont="1" applyBorder="1" applyAlignment="1">
      <alignment wrapText="1"/>
    </xf>
    <xf numFmtId="2" fontId="9" fillId="0" borderId="36" xfId="0" applyNumberFormat="1" applyFont="1" applyBorder="1" applyAlignment="1">
      <alignment wrapText="1"/>
    </xf>
    <xf numFmtId="2" fontId="21" fillId="0" borderId="90" xfId="0" applyNumberFormat="1" applyFont="1" applyBorder="1" applyAlignment="1">
      <alignment horizontal="center" wrapText="1"/>
    </xf>
    <xf numFmtId="9" fontId="21" fillId="0" borderId="16" xfId="51" applyFont="1" applyBorder="1" applyAlignment="1">
      <alignment horizontal="center" wrapText="1"/>
    </xf>
    <xf numFmtId="2" fontId="21" fillId="0" borderId="24" xfId="0" applyNumberFormat="1" applyFont="1" applyBorder="1" applyAlignment="1">
      <alignment horizontal="center" wrapText="1"/>
    </xf>
    <xf numFmtId="2" fontId="21" fillId="0" borderId="16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 wrapText="1"/>
    </xf>
    <xf numFmtId="0" fontId="21" fillId="0" borderId="33" xfId="0" applyFont="1" applyBorder="1"/>
    <xf numFmtId="0" fontId="91" fillId="0" borderId="16" xfId="0" applyFont="1" applyBorder="1" applyAlignment="1">
      <alignment horizontal="center"/>
    </xf>
    <xf numFmtId="0" fontId="21" fillId="0" borderId="16" xfId="0" applyFont="1" applyFill="1" applyBorder="1" applyAlignment="1">
      <alignment horizontal="center" wrapText="1"/>
    </xf>
    <xf numFmtId="0" fontId="21" fillId="24" borderId="46" xfId="0" applyFont="1" applyFill="1" applyBorder="1" applyAlignment="1">
      <alignment horizontal="center" wrapText="1"/>
    </xf>
    <xf numFmtId="9" fontId="21" fillId="24" borderId="16" xfId="51" applyFont="1" applyFill="1" applyBorder="1" applyAlignment="1">
      <alignment horizontal="center" wrapText="1"/>
    </xf>
    <xf numFmtId="0" fontId="92" fillId="0" borderId="23" xfId="0" applyFont="1" applyBorder="1"/>
    <xf numFmtId="3" fontId="21" fillId="0" borderId="13" xfId="0" applyNumberFormat="1" applyFont="1" applyFill="1" applyBorder="1"/>
    <xf numFmtId="3" fontId="21" fillId="0" borderId="39" xfId="0" applyNumberFormat="1" applyFont="1" applyFill="1" applyBorder="1"/>
    <xf numFmtId="9" fontId="21" fillId="0" borderId="13" xfId="51" applyFont="1" applyFill="1" applyBorder="1"/>
    <xf numFmtId="0" fontId="9" fillId="0" borderId="33" xfId="0" applyFont="1" applyFill="1" applyBorder="1"/>
    <xf numFmtId="0" fontId="92" fillId="0" borderId="11" xfId="0" applyFont="1" applyFill="1" applyBorder="1" applyAlignment="1">
      <alignment horizontal="left"/>
    </xf>
    <xf numFmtId="3" fontId="21" fillId="0" borderId="12" xfId="0" applyNumberFormat="1" applyFont="1" applyFill="1" applyBorder="1"/>
    <xf numFmtId="3" fontId="21" fillId="0" borderId="33" xfId="0" applyNumberFormat="1" applyFont="1" applyFill="1" applyBorder="1"/>
    <xf numFmtId="9" fontId="21" fillId="0" borderId="12" xfId="51" applyFont="1" applyFill="1" applyBorder="1"/>
    <xf numFmtId="3" fontId="9" fillId="0" borderId="12" xfId="0" applyNumberFormat="1" applyFont="1" applyFill="1" applyBorder="1"/>
    <xf numFmtId="0" fontId="9" fillId="0" borderId="0" xfId="0" applyFont="1" applyFill="1"/>
    <xf numFmtId="3" fontId="9" fillId="0" borderId="33" xfId="0" applyNumberFormat="1" applyFont="1" applyFill="1" applyBorder="1"/>
    <xf numFmtId="9" fontId="9" fillId="0" borderId="12" xfId="51" applyFont="1" applyFill="1" applyBorder="1"/>
    <xf numFmtId="0" fontId="21" fillId="0" borderId="33" xfId="0" applyFont="1" applyFill="1" applyBorder="1"/>
    <xf numFmtId="0" fontId="92" fillId="0" borderId="23" xfId="0" applyFont="1" applyFill="1" applyBorder="1" applyAlignment="1">
      <alignment horizontal="left"/>
    </xf>
    <xf numFmtId="3" fontId="21" fillId="0" borderId="91" xfId="0" applyNumberFormat="1" applyFont="1" applyFill="1" applyBorder="1"/>
    <xf numFmtId="9" fontId="21" fillId="0" borderId="37" xfId="51" applyFont="1" applyFill="1" applyBorder="1"/>
    <xf numFmtId="3" fontId="21" fillId="0" borderId="37" xfId="0" applyNumberFormat="1" applyFont="1" applyFill="1" applyBorder="1"/>
    <xf numFmtId="0" fontId="9" fillId="0" borderId="33" xfId="0" applyFont="1" applyBorder="1"/>
    <xf numFmtId="0" fontId="91" fillId="0" borderId="14" xfId="0" applyFont="1" applyFill="1" applyBorder="1"/>
    <xf numFmtId="3" fontId="21" fillId="0" borderId="46" xfId="0" applyNumberFormat="1" applyFont="1" applyFill="1" applyBorder="1"/>
    <xf numFmtId="9" fontId="21" fillId="0" borderId="16" xfId="51" applyFont="1" applyFill="1" applyBorder="1"/>
    <xf numFmtId="3" fontId="21" fillId="0" borderId="16" xfId="0" applyNumberFormat="1" applyFont="1" applyFill="1" applyBorder="1"/>
    <xf numFmtId="0" fontId="17" fillId="0" borderId="34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3" fontId="16" fillId="20" borderId="32" xfId="0" applyNumberFormat="1" applyFont="1" applyFill="1" applyBorder="1" applyAlignment="1">
      <alignment horizontal="right"/>
    </xf>
    <xf numFmtId="9" fontId="16" fillId="20" borderId="32" xfId="51" applyFont="1" applyFill="1" applyBorder="1" applyAlignment="1">
      <alignment horizontal="right"/>
    </xf>
    <xf numFmtId="9" fontId="17" fillId="0" borderId="0" xfId="51" applyFont="1"/>
    <xf numFmtId="0" fontId="17" fillId="0" borderId="0" xfId="0" applyFont="1" applyFill="1" applyAlignment="1">
      <alignment horizontal="right"/>
    </xf>
    <xf numFmtId="3" fontId="16" fillId="0" borderId="0" xfId="0" applyNumberFormat="1" applyFont="1"/>
    <xf numFmtId="9" fontId="16" fillId="0" borderId="0" xfId="51" applyFont="1"/>
    <xf numFmtId="0" fontId="66" fillId="24" borderId="24" xfId="0" applyFont="1" applyFill="1" applyBorder="1"/>
    <xf numFmtId="0" fontId="55" fillId="0" borderId="68" xfId="0" applyFont="1" applyBorder="1" applyAlignment="1">
      <alignment horizontal="center" vertical="center" wrapText="1"/>
    </xf>
    <xf numFmtId="0" fontId="55" fillId="27" borderId="65" xfId="0" applyFont="1" applyFill="1" applyBorder="1" applyAlignment="1">
      <alignment horizontal="center" vertical="center" wrapText="1"/>
    </xf>
    <xf numFmtId="0" fontId="55" fillId="27" borderId="92" xfId="0" applyFont="1" applyFill="1" applyBorder="1" applyAlignment="1">
      <alignment horizontal="center" vertical="center" wrapText="1"/>
    </xf>
    <xf numFmtId="0" fontId="55" fillId="27" borderId="93" xfId="0" applyFont="1" applyFill="1" applyBorder="1" applyAlignment="1">
      <alignment horizontal="center" vertical="center" wrapText="1"/>
    </xf>
    <xf numFmtId="0" fontId="55" fillId="34" borderId="19" xfId="0" applyFont="1" applyFill="1" applyBorder="1"/>
    <xf numFmtId="0" fontId="56" fillId="0" borderId="58" xfId="0" applyFont="1" applyBorder="1"/>
    <xf numFmtId="3" fontId="56" fillId="0" borderId="58" xfId="0" applyNumberFormat="1" applyFont="1" applyBorder="1"/>
    <xf numFmtId="3" fontId="55" fillId="27" borderId="94" xfId="0" applyNumberFormat="1" applyFont="1" applyFill="1" applyBorder="1"/>
    <xf numFmtId="0" fontId="73" fillId="23" borderId="95" xfId="0" applyFont="1" applyFill="1" applyBorder="1"/>
    <xf numFmtId="3" fontId="55" fillId="23" borderId="96" xfId="0" applyNumberFormat="1" applyFont="1" applyFill="1" applyBorder="1"/>
    <xf numFmtId="0" fontId="55" fillId="23" borderId="97" xfId="0" applyFont="1" applyFill="1" applyBorder="1"/>
    <xf numFmtId="3" fontId="55" fillId="23" borderId="98" xfId="0" applyNumberFormat="1" applyFont="1" applyFill="1" applyBorder="1"/>
    <xf numFmtId="0" fontId="73" fillId="23" borderId="99" xfId="0" applyFont="1" applyFill="1" applyBorder="1"/>
    <xf numFmtId="3" fontId="55" fillId="23" borderId="94" xfId="0" applyNumberFormat="1" applyFont="1" applyFill="1" applyBorder="1"/>
    <xf numFmtId="0" fontId="55" fillId="0" borderId="19" xfId="0" applyFont="1" applyBorder="1"/>
    <xf numFmtId="0" fontId="55" fillId="0" borderId="97" xfId="0" applyFont="1" applyFill="1" applyBorder="1"/>
    <xf numFmtId="3" fontId="55" fillId="0" borderId="98" xfId="0" applyNumberFormat="1" applyFont="1" applyFill="1" applyBorder="1"/>
    <xf numFmtId="0" fontId="55" fillId="30" borderId="97" xfId="0" applyFont="1" applyFill="1" applyBorder="1"/>
    <xf numFmtId="3" fontId="55" fillId="30" borderId="98" xfId="0" applyNumberFormat="1" applyFont="1" applyFill="1" applyBorder="1"/>
    <xf numFmtId="0" fontId="55" fillId="30" borderId="100" xfId="0" applyFont="1" applyFill="1" applyBorder="1"/>
    <xf numFmtId="3" fontId="55" fillId="30" borderId="101" xfId="0" applyNumberFormat="1" applyFont="1" applyFill="1" applyBorder="1"/>
    <xf numFmtId="0" fontId="56" fillId="0" borderId="54" xfId="0" applyFont="1" applyFill="1" applyBorder="1" applyAlignment="1">
      <alignment horizontal="right"/>
    </xf>
    <xf numFmtId="3" fontId="56" fillId="0" borderId="62" xfId="0" applyNumberFormat="1" applyFont="1" applyFill="1" applyBorder="1"/>
    <xf numFmtId="0" fontId="55" fillId="0" borderId="102" xfId="0" applyFont="1" applyBorder="1"/>
    <xf numFmtId="0" fontId="55" fillId="0" borderId="103" xfId="0" applyFont="1" applyBorder="1"/>
    <xf numFmtId="0" fontId="5" fillId="0" borderId="16" xfId="0" applyFont="1" applyFill="1" applyBorder="1" applyAlignment="1">
      <alignment horizontal="center"/>
    </xf>
    <xf numFmtId="0" fontId="5" fillId="0" borderId="104" xfId="0" applyFont="1" applyBorder="1" applyAlignment="1">
      <alignment horizontal="center"/>
    </xf>
    <xf numFmtId="0" fontId="12" fillId="0" borderId="35" xfId="0" applyFont="1" applyBorder="1"/>
    <xf numFmtId="0" fontId="12" fillId="0" borderId="23" xfId="0" applyFont="1" applyBorder="1"/>
    <xf numFmtId="0" fontId="12" fillId="0" borderId="23" xfId="0" applyFont="1" applyFill="1" applyBorder="1"/>
    <xf numFmtId="0" fontId="5" fillId="0" borderId="104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12" fillId="0" borderId="35" xfId="0" applyFont="1" applyFill="1" applyBorder="1"/>
    <xf numFmtId="0" fontId="14" fillId="0" borderId="23" xfId="0" applyFont="1" applyFill="1" applyBorder="1"/>
    <xf numFmtId="0" fontId="16" fillId="0" borderId="24" xfId="0" applyFont="1" applyBorder="1"/>
    <xf numFmtId="0" fontId="16" fillId="0" borderId="10" xfId="0" applyFont="1" applyBorder="1"/>
    <xf numFmtId="0" fontId="56" fillId="31" borderId="19" xfId="0" applyFont="1" applyFill="1" applyBorder="1"/>
    <xf numFmtId="3" fontId="55" fillId="31" borderId="19" xfId="0" applyNumberFormat="1" applyFont="1" applyFill="1" applyBorder="1"/>
    <xf numFmtId="3" fontId="12" fillId="0" borderId="63" xfId="0" applyNumberFormat="1" applyFont="1" applyFill="1" applyBorder="1"/>
    <xf numFmtId="3" fontId="12" fillId="0" borderId="0" xfId="0" applyNumberFormat="1" applyFont="1" applyFill="1" applyBorder="1"/>
    <xf numFmtId="3" fontId="5" fillId="0" borderId="39" xfId="0" applyNumberFormat="1" applyFont="1" applyBorder="1"/>
    <xf numFmtId="3" fontId="5" fillId="0" borderId="40" xfId="0" applyNumberFormat="1" applyFont="1" applyFill="1" applyBorder="1"/>
    <xf numFmtId="0" fontId="12" fillId="0" borderId="26" xfId="0" applyFont="1" applyBorder="1" applyAlignment="1">
      <alignment horizontal="center"/>
    </xf>
    <xf numFmtId="0" fontId="1" fillId="0" borderId="38" xfId="0" applyFont="1" applyFill="1" applyBorder="1"/>
    <xf numFmtId="0" fontId="5" fillId="0" borderId="88" xfId="0" applyFont="1" applyBorder="1"/>
    <xf numFmtId="3" fontId="77" fillId="0" borderId="105" xfId="0" applyNumberFormat="1" applyFont="1" applyFill="1" applyBorder="1" applyAlignment="1"/>
    <xf numFmtId="3" fontId="78" fillId="0" borderId="39" xfId="0" applyNumberFormat="1" applyFont="1" applyFill="1" applyBorder="1" applyAlignment="1"/>
    <xf numFmtId="3" fontId="79" fillId="0" borderId="39" xfId="0" applyNumberFormat="1" applyFont="1" applyFill="1" applyBorder="1" applyAlignment="1"/>
    <xf numFmtId="3" fontId="77" fillId="0" borderId="39" xfId="0" applyNumberFormat="1" applyFont="1" applyFill="1" applyBorder="1" applyAlignment="1"/>
    <xf numFmtId="3" fontId="79" fillId="0" borderId="91" xfId="0" applyNumberFormat="1" applyFont="1" applyFill="1" applyBorder="1" applyAlignment="1"/>
    <xf numFmtId="3" fontId="77" fillId="0" borderId="46" xfId="0" applyNumberFormat="1" applyFont="1" applyFill="1" applyBorder="1" applyAlignment="1"/>
    <xf numFmtId="43" fontId="78" fillId="0" borderId="18" xfId="26" applyFont="1" applyBorder="1"/>
    <xf numFmtId="43" fontId="79" fillId="0" borderId="18" xfId="26" applyFont="1" applyBorder="1"/>
    <xf numFmtId="43" fontId="77" fillId="0" borderId="18" xfId="26" applyFont="1" applyBorder="1"/>
    <xf numFmtId="43" fontId="79" fillId="0" borderId="27" xfId="26" applyFont="1" applyBorder="1"/>
    <xf numFmtId="3" fontId="77" fillId="0" borderId="47" xfId="0" applyNumberFormat="1" applyFont="1" applyFill="1" applyBorder="1" applyAlignment="1"/>
    <xf numFmtId="3" fontId="78" fillId="0" borderId="18" xfId="0" applyNumberFormat="1" applyFont="1" applyFill="1" applyBorder="1" applyAlignment="1"/>
    <xf numFmtId="3" fontId="79" fillId="0" borderId="18" xfId="0" applyNumberFormat="1" applyFont="1" applyFill="1" applyBorder="1" applyAlignment="1"/>
    <xf numFmtId="164" fontId="77" fillId="0" borderId="25" xfId="26" applyNumberFormat="1" applyFont="1" applyBorder="1"/>
    <xf numFmtId="0" fontId="55" fillId="23" borderId="58" xfId="0" applyFont="1" applyFill="1" applyBorder="1" applyAlignment="1">
      <alignment horizontal="center"/>
    </xf>
    <xf numFmtId="0" fontId="28" fillId="0" borderId="58" xfId="0" applyFont="1" applyBorder="1"/>
    <xf numFmtId="0" fontId="81" fillId="0" borderId="58" xfId="0" applyFont="1" applyBorder="1"/>
    <xf numFmtId="0" fontId="84" fillId="0" borderId="58" xfId="0" applyFont="1" applyBorder="1"/>
    <xf numFmtId="0" fontId="28" fillId="0" borderId="58" xfId="0" applyFont="1" applyFill="1" applyBorder="1"/>
    <xf numFmtId="0" fontId="28" fillId="26" borderId="58" xfId="0" applyFont="1" applyFill="1" applyBorder="1"/>
    <xf numFmtId="3" fontId="57" fillId="0" borderId="58" xfId="38" applyNumberFormat="1" applyFont="1" applyBorder="1"/>
    <xf numFmtId="3" fontId="52" fillId="26" borderId="58" xfId="0" applyNumberFormat="1" applyFont="1" applyFill="1" applyBorder="1"/>
    <xf numFmtId="0" fontId="86" fillId="31" borderId="68" xfId="0" applyFont="1" applyFill="1" applyBorder="1"/>
    <xf numFmtId="0" fontId="28" fillId="0" borderId="68" xfId="0" applyFont="1" applyBorder="1"/>
    <xf numFmtId="3" fontId="80" fillId="0" borderId="106" xfId="38" applyNumberFormat="1" applyFont="1" applyBorder="1"/>
    <xf numFmtId="3" fontId="76" fillId="0" borderId="0" xfId="0" applyNumberFormat="1" applyFont="1" applyFill="1" applyAlignment="1">
      <alignment horizontal="right"/>
    </xf>
    <xf numFmtId="3" fontId="77" fillId="0" borderId="50" xfId="0" applyNumberFormat="1" applyFont="1" applyFill="1" applyBorder="1" applyAlignment="1">
      <alignment horizontal="center" vertical="center" wrapText="1"/>
    </xf>
    <xf numFmtId="3" fontId="77" fillId="0" borderId="48" xfId="0" applyNumberFormat="1" applyFont="1" applyFill="1" applyBorder="1" applyAlignment="1"/>
    <xf numFmtId="3" fontId="78" fillId="0" borderId="19" xfId="0" applyNumberFormat="1" applyFont="1" applyFill="1" applyBorder="1" applyAlignment="1"/>
    <xf numFmtId="3" fontId="79" fillId="0" borderId="19" xfId="0" applyNumberFormat="1" applyFont="1" applyFill="1" applyBorder="1" applyAlignment="1"/>
    <xf numFmtId="3" fontId="77" fillId="0" borderId="19" xfId="0" applyNumberFormat="1" applyFont="1" applyFill="1" applyBorder="1" applyAlignment="1"/>
    <xf numFmtId="3" fontId="79" fillId="0" borderId="50" xfId="0" applyNumberFormat="1" applyFont="1" applyFill="1" applyBorder="1" applyAlignment="1"/>
    <xf numFmtId="3" fontId="77" fillId="0" borderId="70" xfId="0" applyNumberFormat="1" applyFont="1" applyBorder="1" applyAlignment="1">
      <alignment horizontal="center" vertical="center" wrapText="1"/>
    </xf>
    <xf numFmtId="3" fontId="77" fillId="0" borderId="27" xfId="0" applyNumberFormat="1" applyFont="1" applyBorder="1" applyAlignment="1">
      <alignment horizontal="center" vertical="center" wrapText="1"/>
    </xf>
    <xf numFmtId="3" fontId="77" fillId="0" borderId="71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7" fillId="0" borderId="57" xfId="0" applyFont="1" applyFill="1" applyBorder="1" applyAlignment="1">
      <alignment horizontal="left"/>
    </xf>
    <xf numFmtId="3" fontId="12" fillId="0" borderId="20" xfId="0" applyNumberFormat="1" applyFont="1" applyFill="1" applyBorder="1" applyAlignment="1">
      <alignment horizontal="right"/>
    </xf>
    <xf numFmtId="3" fontId="12" fillId="0" borderId="108" xfId="0" applyNumberFormat="1" applyFont="1" applyFill="1" applyBorder="1" applyAlignment="1">
      <alignment horizontal="right"/>
    </xf>
    <xf numFmtId="0" fontId="12" fillId="0" borderId="109" xfId="46" applyFont="1" applyFill="1" applyBorder="1"/>
    <xf numFmtId="0" fontId="10" fillId="0" borderId="0" xfId="0" applyFont="1" applyFill="1"/>
    <xf numFmtId="0" fontId="29" fillId="0" borderId="47" xfId="0" applyFont="1" applyFill="1" applyBorder="1" applyAlignment="1">
      <alignment horizontal="center"/>
    </xf>
    <xf numFmtId="0" fontId="29" fillId="0" borderId="48" xfId="0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29" fillId="0" borderId="50" xfId="0" applyFont="1" applyFill="1" applyBorder="1" applyAlignment="1">
      <alignment horizontal="center"/>
    </xf>
    <xf numFmtId="3" fontId="29" fillId="0" borderId="52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left"/>
    </xf>
    <xf numFmtId="3" fontId="12" fillId="0" borderId="45" xfId="0" applyNumberFormat="1" applyFont="1" applyFill="1" applyBorder="1" applyAlignment="1">
      <alignment horizontal="right"/>
    </xf>
    <xf numFmtId="9" fontId="12" fillId="0" borderId="45" xfId="51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7" fillId="0" borderId="19" xfId="0" applyFont="1" applyFill="1" applyBorder="1"/>
    <xf numFmtId="0" fontId="1" fillId="0" borderId="18" xfId="0" applyFont="1" applyFill="1" applyBorder="1" applyAlignment="1">
      <alignment horizontal="center"/>
    </xf>
    <xf numFmtId="0" fontId="7" fillId="0" borderId="66" xfId="0" applyFont="1" applyFill="1" applyBorder="1"/>
    <xf numFmtId="0" fontId="29" fillId="0" borderId="25" xfId="0" applyFont="1" applyFill="1" applyBorder="1" applyAlignment="1">
      <alignment horizontal="center"/>
    </xf>
    <xf numFmtId="0" fontId="29" fillId="0" borderId="88" xfId="0" applyFont="1" applyFill="1" applyBorder="1"/>
    <xf numFmtId="3" fontId="29" fillId="0" borderId="51" xfId="0" applyNumberFormat="1" applyFont="1" applyFill="1" applyBorder="1" applyAlignment="1">
      <alignment horizontal="right"/>
    </xf>
    <xf numFmtId="0" fontId="1" fillId="0" borderId="47" xfId="0" applyFont="1" applyFill="1" applyBorder="1" applyAlignment="1">
      <alignment horizontal="center"/>
    </xf>
    <xf numFmtId="9" fontId="29" fillId="0" borderId="51" xfId="51" applyFont="1" applyFill="1" applyBorder="1" applyAlignment="1">
      <alignment horizontal="right"/>
    </xf>
    <xf numFmtId="3" fontId="1" fillId="0" borderId="108" xfId="0" applyNumberFormat="1" applyFont="1" applyFill="1" applyBorder="1" applyAlignment="1">
      <alignment horizontal="right"/>
    </xf>
    <xf numFmtId="9" fontId="1" fillId="0" borderId="108" xfId="51" applyFont="1" applyFill="1" applyBorder="1" applyAlignment="1">
      <alignment horizontal="right"/>
    </xf>
    <xf numFmtId="164" fontId="9" fillId="0" borderId="0" xfId="26" applyNumberFormat="1" applyFont="1" applyFill="1"/>
    <xf numFmtId="2" fontId="21" fillId="0" borderId="46" xfId="0" applyNumberFormat="1" applyFont="1" applyFill="1" applyBorder="1" applyAlignment="1">
      <alignment horizontal="center" wrapText="1"/>
    </xf>
    <xf numFmtId="3" fontId="21" fillId="0" borderId="14" xfId="0" applyNumberFormat="1" applyFont="1" applyFill="1" applyBorder="1"/>
    <xf numFmtId="164" fontId="12" fillId="0" borderId="0" xfId="26" applyNumberFormat="1" applyFont="1" applyFill="1"/>
    <xf numFmtId="0" fontId="7" fillId="0" borderId="48" xfId="0" applyFont="1" applyFill="1" applyBorder="1"/>
    <xf numFmtId="0" fontId="7" fillId="0" borderId="107" xfId="0" applyFont="1" applyFill="1" applyBorder="1"/>
    <xf numFmtId="3" fontId="57" fillId="0" borderId="86" xfId="38" applyNumberFormat="1" applyFont="1" applyBorder="1"/>
    <xf numFmtId="3" fontId="0" fillId="0" borderId="0" xfId="0" applyNumberFormat="1" applyFill="1"/>
    <xf numFmtId="3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justify" vertical="center"/>
    </xf>
    <xf numFmtId="0" fontId="5" fillId="0" borderId="9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wrapText="1"/>
    </xf>
    <xf numFmtId="0" fontId="12" fillId="0" borderId="39" xfId="0" applyNumberFormat="1" applyFont="1" applyFill="1" applyBorder="1" applyAlignment="1">
      <alignment horizontal="right"/>
    </xf>
    <xf numFmtId="3" fontId="5" fillId="0" borderId="46" xfId="0" applyNumberFormat="1" applyFont="1" applyFill="1" applyBorder="1" applyAlignment="1">
      <alignment horizontal="right"/>
    </xf>
    <xf numFmtId="0" fontId="12" fillId="0" borderId="16" xfId="0" applyFont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6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right" vertical="center"/>
    </xf>
    <xf numFmtId="0" fontId="94" fillId="0" borderId="0" xfId="0" applyFont="1" applyFill="1" applyAlignment="1">
      <alignment horizontal="center" vertical="center"/>
    </xf>
    <xf numFmtId="0" fontId="93" fillId="0" borderId="11" xfId="0" applyFont="1" applyFill="1" applyBorder="1" applyAlignment="1">
      <alignment horizontal="left"/>
    </xf>
    <xf numFmtId="3" fontId="77" fillId="31" borderId="49" xfId="0" applyNumberFormat="1" applyFont="1" applyFill="1" applyBorder="1"/>
    <xf numFmtId="3" fontId="17" fillId="0" borderId="40" xfId="0" applyNumberFormat="1" applyFont="1" applyFill="1" applyBorder="1" applyAlignment="1">
      <alignment horizontal="right"/>
    </xf>
    <xf numFmtId="3" fontId="5" fillId="0" borderId="20" xfId="0" applyNumberFormat="1" applyFont="1" applyFill="1" applyBorder="1"/>
    <xf numFmtId="0" fontId="26" fillId="0" borderId="0" xfId="0" applyFont="1" applyFill="1" applyAlignment="1">
      <alignment horizontal="justify"/>
    </xf>
    <xf numFmtId="0" fontId="64" fillId="0" borderId="0" xfId="0" applyFont="1" applyFill="1"/>
    <xf numFmtId="0" fontId="5" fillId="0" borderId="29" xfId="0" applyFont="1" applyFill="1" applyBorder="1" applyAlignment="1">
      <alignment horizontal="center" wrapText="1"/>
    </xf>
    <xf numFmtId="0" fontId="5" fillId="0" borderId="0" xfId="0" applyFont="1" applyFill="1"/>
    <xf numFmtId="0" fontId="5" fillId="0" borderId="30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wrapText="1"/>
    </xf>
    <xf numFmtId="0" fontId="29" fillId="0" borderId="32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29" fillId="0" borderId="3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wrapText="1"/>
    </xf>
    <xf numFmtId="0" fontId="12" fillId="0" borderId="32" xfId="0" applyFont="1" applyFill="1" applyBorder="1"/>
    <xf numFmtId="0" fontId="62" fillId="0" borderId="32" xfId="0" applyFont="1" applyFill="1" applyBorder="1" applyAlignment="1">
      <alignment horizontal="right"/>
    </xf>
    <xf numFmtId="0" fontId="5" fillId="0" borderId="32" xfId="0" applyFont="1" applyFill="1" applyBorder="1" applyAlignment="1">
      <alignment horizontal="right"/>
    </xf>
    <xf numFmtId="0" fontId="61" fillId="0" borderId="32" xfId="0" applyFont="1" applyFill="1" applyBorder="1" applyAlignment="1">
      <alignment horizontal="right"/>
    </xf>
    <xf numFmtId="0" fontId="56" fillId="0" borderId="0" xfId="0" applyFont="1" applyFill="1"/>
    <xf numFmtId="0" fontId="28" fillId="0" borderId="0" xfId="0" applyFont="1" applyFill="1"/>
    <xf numFmtId="0" fontId="88" fillId="0" borderId="0" xfId="0" applyFont="1" applyFill="1"/>
    <xf numFmtId="0" fontId="16" fillId="0" borderId="11" xfId="0" applyFont="1" applyBorder="1"/>
    <xf numFmtId="0" fontId="12" fillId="0" borderId="0" xfId="0" applyFont="1" applyBorder="1"/>
    <xf numFmtId="0" fontId="1" fillId="0" borderId="32" xfId="0" applyFont="1" applyFill="1" applyBorder="1" applyAlignment="1">
      <alignment horizontal="left"/>
    </xf>
    <xf numFmtId="0" fontId="62" fillId="35" borderId="32" xfId="0" applyFont="1" applyFill="1" applyBorder="1" applyAlignment="1">
      <alignment horizontal="right"/>
    </xf>
    <xf numFmtId="0" fontId="1" fillId="0" borderId="109" xfId="46" quotePrefix="1" applyFont="1" applyFill="1" applyBorder="1" applyAlignment="1">
      <alignment horizontal="center"/>
    </xf>
    <xf numFmtId="0" fontId="95" fillId="0" borderId="0" xfId="0" applyFont="1" applyFill="1"/>
    <xf numFmtId="0" fontId="95" fillId="0" borderId="0" xfId="0" applyFont="1"/>
    <xf numFmtId="3" fontId="95" fillId="0" borderId="0" xfId="0" applyNumberFormat="1" applyFont="1"/>
    <xf numFmtId="0" fontId="95" fillId="0" borderId="0" xfId="0" applyFont="1" applyFill="1" applyAlignment="1">
      <alignment horizontal="center"/>
    </xf>
    <xf numFmtId="0" fontId="95" fillId="0" borderId="0" xfId="0" applyFont="1" applyAlignment="1">
      <alignment horizontal="center"/>
    </xf>
    <xf numFmtId="3" fontId="95" fillId="0" borderId="0" xfId="0" applyNumberFormat="1" applyFont="1" applyAlignment="1">
      <alignment horizontal="center"/>
    </xf>
    <xf numFmtId="3" fontId="95" fillId="0" borderId="0" xfId="0" applyNumberFormat="1" applyFont="1" applyFill="1" applyAlignment="1">
      <alignment horizontal="center"/>
    </xf>
    <xf numFmtId="0" fontId="95" fillId="0" borderId="0" xfId="0" applyFont="1" applyFill="1" applyBorder="1" applyAlignment="1">
      <alignment horizontal="center"/>
    </xf>
    <xf numFmtId="3" fontId="95" fillId="0" borderId="0" xfId="0" applyNumberFormat="1" applyFont="1" applyFill="1" applyBorder="1" applyAlignment="1">
      <alignment horizontal="center"/>
    </xf>
    <xf numFmtId="0" fontId="95" fillId="0" borderId="0" xfId="0" applyFont="1" applyFill="1" applyBorder="1"/>
    <xf numFmtId="3" fontId="95" fillId="0" borderId="0" xfId="0" applyNumberFormat="1" applyFont="1" applyFill="1" applyBorder="1"/>
    <xf numFmtId="3" fontId="95" fillId="0" borderId="0" xfId="0" applyNumberFormat="1" applyFont="1" applyFill="1"/>
    <xf numFmtId="3" fontId="1" fillId="0" borderId="45" xfId="0" applyNumberFormat="1" applyFont="1" applyFill="1" applyBorder="1" applyAlignment="1">
      <alignment horizontal="right"/>
    </xf>
    <xf numFmtId="0" fontId="12" fillId="0" borderId="60" xfId="0" applyFont="1" applyFill="1" applyBorder="1" applyAlignment="1">
      <alignment horizontal="justify" vertical="center"/>
    </xf>
    <xf numFmtId="0" fontId="1" fillId="0" borderId="13" xfId="0" applyFont="1" applyBorder="1"/>
    <xf numFmtId="0" fontId="12" fillId="0" borderId="12" xfId="0" applyFont="1" applyFill="1" applyBorder="1" applyAlignment="1">
      <alignment horizontal="left"/>
    </xf>
    <xf numFmtId="0" fontId="1" fillId="0" borderId="17" xfId="0" applyFont="1" applyBorder="1"/>
    <xf numFmtId="3" fontId="77" fillId="0" borderId="52" xfId="0" applyNumberFormat="1" applyFont="1" applyBorder="1" applyAlignment="1">
      <alignment horizontal="center" vertical="center" wrapText="1"/>
    </xf>
    <xf numFmtId="3" fontId="78" fillId="0" borderId="18" xfId="0" applyNumberFormat="1" applyFont="1" applyBorder="1" applyAlignment="1"/>
    <xf numFmtId="3" fontId="79" fillId="0" borderId="18" xfId="0" applyNumberFormat="1" applyFont="1" applyBorder="1" applyAlignment="1"/>
    <xf numFmtId="0" fontId="52" fillId="0" borderId="117" xfId="38" applyFont="1" applyBorder="1" applyAlignment="1">
      <alignment horizontal="center"/>
    </xf>
    <xf numFmtId="0" fontId="52" fillId="0" borderId="118" xfId="38" applyFont="1" applyBorder="1" applyAlignment="1">
      <alignment horizontal="center"/>
    </xf>
    <xf numFmtId="0" fontId="28" fillId="0" borderId="44" xfId="0" applyFont="1" applyBorder="1"/>
    <xf numFmtId="0" fontId="28" fillId="0" borderId="49" xfId="0" applyFont="1" applyBorder="1"/>
    <xf numFmtId="3" fontId="54" fillId="32" borderId="51" xfId="39" applyNumberFormat="1" applyFont="1" applyFill="1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19" xfId="0" applyBorder="1" applyAlignment="1"/>
    <xf numFmtId="0" fontId="0" fillId="0" borderId="19" xfId="0" applyBorder="1"/>
    <xf numFmtId="0" fontId="0" fillId="0" borderId="19" xfId="0" applyBorder="1" applyAlignment="1">
      <alignment horizontal="right"/>
    </xf>
    <xf numFmtId="0" fontId="1" fillId="0" borderId="19" xfId="0" applyFont="1" applyBorder="1" applyAlignment="1"/>
    <xf numFmtId="0" fontId="1" fillId="0" borderId="19" xfId="0" applyFont="1" applyBorder="1" applyAlignment="1">
      <alignment horizontal="right"/>
    </xf>
    <xf numFmtId="0" fontId="5" fillId="0" borderId="47" xfId="0" applyFont="1" applyBorder="1"/>
    <xf numFmtId="0" fontId="0" fillId="0" borderId="48" xfId="0" applyBorder="1" applyAlignment="1"/>
    <xf numFmtId="0" fontId="0" fillId="0" borderId="48" xfId="0" applyBorder="1"/>
    <xf numFmtId="0" fontId="0" fillId="0" borderId="48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18" xfId="0" applyBorder="1"/>
    <xf numFmtId="0" fontId="0" fillId="0" borderId="20" xfId="0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18" xfId="0" applyFont="1" applyBorder="1"/>
    <xf numFmtId="0" fontId="1" fillId="0" borderId="27" xfId="0" applyFont="1" applyBorder="1"/>
    <xf numFmtId="0" fontId="1" fillId="0" borderId="50" xfId="0" applyFont="1" applyBorder="1" applyAlignment="1"/>
    <xf numFmtId="0" fontId="0" fillId="0" borderId="50" xfId="0" applyBorder="1"/>
    <xf numFmtId="0" fontId="1" fillId="0" borderId="50" xfId="0" applyFont="1" applyBorder="1" applyAlignment="1">
      <alignment horizontal="right"/>
    </xf>
    <xf numFmtId="0" fontId="1" fillId="0" borderId="52" xfId="0" applyFont="1" applyBorder="1" applyAlignment="1">
      <alignment horizontal="right"/>
    </xf>
    <xf numFmtId="0" fontId="1" fillId="0" borderId="32" xfId="0" applyFont="1" applyFill="1" applyBorder="1"/>
    <xf numFmtId="0" fontId="75" fillId="0" borderId="0" xfId="0" applyFont="1" applyAlignment="1">
      <alignment horizontal="center" vertical="center" wrapText="1"/>
    </xf>
    <xf numFmtId="0" fontId="77" fillId="0" borderId="67" xfId="0" applyFont="1" applyBorder="1" applyAlignment="1">
      <alignment horizontal="center" vertical="center" wrapText="1"/>
    </xf>
    <xf numFmtId="0" fontId="77" fillId="0" borderId="28" xfId="0" applyFont="1" applyBorder="1" applyAlignment="1">
      <alignment horizontal="center" vertical="center" wrapText="1"/>
    </xf>
    <xf numFmtId="0" fontId="77" fillId="0" borderId="69" xfId="0" applyFont="1" applyBorder="1" applyAlignment="1">
      <alignment horizontal="center" vertical="center" wrapText="1"/>
    </xf>
    <xf numFmtId="0" fontId="77" fillId="0" borderId="62" xfId="0" applyFont="1" applyBorder="1" applyAlignment="1">
      <alignment horizontal="center" vertical="center" wrapText="1"/>
    </xf>
    <xf numFmtId="3" fontId="77" fillId="0" borderId="61" xfId="0" applyNumberFormat="1" applyFont="1" applyBorder="1" applyAlignment="1">
      <alignment horizontal="center" vertical="center" wrapText="1"/>
    </xf>
    <xf numFmtId="3" fontId="77" fillId="0" borderId="49" xfId="0" applyNumberFormat="1" applyFont="1" applyBorder="1" applyAlignment="1">
      <alignment horizontal="center" vertical="center" wrapText="1"/>
    </xf>
    <xf numFmtId="3" fontId="77" fillId="0" borderId="47" xfId="0" applyNumberFormat="1" applyFont="1" applyFill="1" applyBorder="1" applyAlignment="1">
      <alignment horizontal="center" vertical="center" wrapText="1"/>
    </xf>
    <xf numFmtId="3" fontId="77" fillId="0" borderId="49" xfId="0" applyNumberFormat="1" applyFont="1" applyFill="1" applyBorder="1" applyAlignment="1">
      <alignment horizontal="center" vertical="center" wrapText="1"/>
    </xf>
    <xf numFmtId="3" fontId="77" fillId="0" borderId="47" xfId="0" applyNumberFormat="1" applyFont="1" applyBorder="1" applyAlignment="1">
      <alignment horizontal="center" vertical="center" wrapText="1"/>
    </xf>
    <xf numFmtId="3" fontId="77" fillId="0" borderId="53" xfId="0" applyNumberFormat="1" applyFont="1" applyBorder="1" applyAlignment="1">
      <alignment horizontal="center" vertical="center" wrapText="1"/>
    </xf>
    <xf numFmtId="3" fontId="77" fillId="0" borderId="105" xfId="0" applyNumberFormat="1" applyFont="1" applyBorder="1" applyAlignment="1">
      <alignment horizontal="center" vertical="center" wrapText="1"/>
    </xf>
    <xf numFmtId="3" fontId="77" fillId="0" borderId="59" xfId="0" applyNumberFormat="1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77" fillId="0" borderId="47" xfId="0" applyFont="1" applyBorder="1" applyAlignment="1">
      <alignment horizontal="center" vertical="center" wrapText="1"/>
    </xf>
    <xf numFmtId="0" fontId="77" fillId="0" borderId="27" xfId="0" applyFont="1" applyBorder="1" applyAlignment="1">
      <alignment horizontal="center" vertical="center" wrapText="1"/>
    </xf>
    <xf numFmtId="0" fontId="77" fillId="0" borderId="48" xfId="0" applyFont="1" applyBorder="1" applyAlignment="1">
      <alignment horizontal="center" vertical="center" wrapText="1"/>
    </xf>
    <xf numFmtId="0" fontId="77" fillId="0" borderId="50" xfId="0" applyFont="1" applyBorder="1" applyAlignment="1">
      <alignment horizontal="center" vertical="center" wrapText="1"/>
    </xf>
    <xf numFmtId="3" fontId="77" fillId="0" borderId="48" xfId="0" applyNumberFormat="1" applyFont="1" applyBorder="1" applyAlignment="1">
      <alignment horizontal="center" vertical="center" wrapText="1"/>
    </xf>
    <xf numFmtId="0" fontId="90" fillId="0" borderId="0" xfId="0" applyFont="1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" fillId="0" borderId="24" xfId="0" applyFont="1" applyBorder="1"/>
    <xf numFmtId="0" fontId="5" fillId="0" borderId="46" xfId="0" applyFont="1" applyBorder="1"/>
    <xf numFmtId="0" fontId="5" fillId="23" borderId="110" xfId="0" applyFont="1" applyFill="1" applyBorder="1" applyAlignment="1">
      <alignment horizontal="center" wrapText="1"/>
    </xf>
    <xf numFmtId="0" fontId="5" fillId="23" borderId="111" xfId="0" applyFont="1" applyFill="1" applyBorder="1" applyAlignment="1">
      <alignment horizontal="center" wrapText="1"/>
    </xf>
    <xf numFmtId="0" fontId="5" fillId="23" borderId="112" xfId="0" applyFont="1" applyFill="1" applyBorder="1" applyAlignment="1">
      <alignment horizontal="center" wrapText="1"/>
    </xf>
    <xf numFmtId="0" fontId="5" fillId="23" borderId="113" xfId="0" applyFont="1" applyFill="1" applyBorder="1" applyAlignment="1">
      <alignment horizontal="center" wrapText="1"/>
    </xf>
    <xf numFmtId="0" fontId="5" fillId="23" borderId="38" xfId="0" applyFont="1" applyFill="1" applyBorder="1" applyAlignment="1">
      <alignment horizontal="center" wrapText="1"/>
    </xf>
    <xf numFmtId="0" fontId="5" fillId="23" borderId="29" xfId="0" applyFont="1" applyFill="1" applyBorder="1" applyAlignment="1">
      <alignment horizontal="center" wrapText="1"/>
    </xf>
    <xf numFmtId="0" fontId="5" fillId="23" borderId="114" xfId="0" applyFont="1" applyFill="1" applyBorder="1" applyAlignment="1">
      <alignment horizontal="center" wrapText="1"/>
    </xf>
    <xf numFmtId="0" fontId="5" fillId="23" borderId="83" xfId="0" applyFont="1" applyFill="1" applyBorder="1" applyAlignment="1">
      <alignment horizontal="center" wrapText="1"/>
    </xf>
    <xf numFmtId="0" fontId="5" fillId="23" borderId="115" xfId="0" applyFont="1" applyFill="1" applyBorder="1" applyAlignment="1">
      <alignment horizontal="center" wrapText="1"/>
    </xf>
    <xf numFmtId="0" fontId="5" fillId="0" borderId="24" xfId="0" applyFont="1" applyBorder="1" applyAlignment="1">
      <alignment wrapText="1"/>
    </xf>
    <xf numFmtId="0" fontId="5" fillId="0" borderId="116" xfId="0" applyFont="1" applyBorder="1" applyAlignment="1">
      <alignment wrapText="1"/>
    </xf>
    <xf numFmtId="0" fontId="5" fillId="0" borderId="46" xfId="0" applyFont="1" applyBorder="1" applyAlignment="1">
      <alignment wrapText="1"/>
    </xf>
    <xf numFmtId="0" fontId="5" fillId="0" borderId="53" xfId="46" applyFont="1" applyBorder="1" applyAlignment="1">
      <alignment horizontal="center"/>
    </xf>
    <xf numFmtId="0" fontId="5" fillId="0" borderId="109" xfId="46" applyFont="1" applyBorder="1" applyAlignment="1">
      <alignment horizontal="center"/>
    </xf>
    <xf numFmtId="0" fontId="5" fillId="0" borderId="34" xfId="46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5" fillId="0" borderId="89" xfId="46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55" fillId="0" borderId="0" xfId="0" applyFont="1" applyBorder="1" applyAlignment="1">
      <alignment horizontal="center"/>
    </xf>
    <xf numFmtId="0" fontId="5" fillId="0" borderId="110" xfId="0" applyFont="1" applyFill="1" applyBorder="1" applyAlignment="1">
      <alignment horizontal="center" wrapText="1"/>
    </xf>
    <xf numFmtId="0" fontId="5" fillId="0" borderId="111" xfId="0" applyFont="1" applyFill="1" applyBorder="1" applyAlignment="1">
      <alignment horizontal="center" wrapText="1"/>
    </xf>
    <xf numFmtId="0" fontId="5" fillId="0" borderId="112" xfId="0" applyFont="1" applyFill="1" applyBorder="1" applyAlignment="1">
      <alignment horizontal="center" wrapText="1"/>
    </xf>
    <xf numFmtId="0" fontId="5" fillId="0" borderId="113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114" xfId="0" applyFont="1" applyFill="1" applyBorder="1" applyAlignment="1">
      <alignment horizontal="center" wrapText="1"/>
    </xf>
    <xf numFmtId="0" fontId="5" fillId="0" borderId="83" xfId="0" applyFont="1" applyFill="1" applyBorder="1" applyAlignment="1">
      <alignment horizontal="center" wrapText="1"/>
    </xf>
    <xf numFmtId="0" fontId="5" fillId="0" borderId="115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wrapText="1"/>
    </xf>
    <xf numFmtId="0" fontId="5" fillId="0" borderId="116" xfId="0" applyFont="1" applyFill="1" applyBorder="1" applyAlignment="1">
      <alignment wrapText="1"/>
    </xf>
    <xf numFmtId="0" fontId="5" fillId="0" borderId="24" xfId="0" applyFont="1" applyFill="1" applyBorder="1"/>
    <xf numFmtId="0" fontId="5" fillId="0" borderId="46" xfId="0" applyFont="1" applyFill="1" applyBorder="1"/>
    <xf numFmtId="0" fontId="70" fillId="0" borderId="68" xfId="0" applyFont="1" applyFill="1" applyBorder="1" applyAlignment="1">
      <alignment horizontal="center" wrapText="1"/>
    </xf>
    <xf numFmtId="0" fontId="70" fillId="0" borderId="69" xfId="0" applyFont="1" applyFill="1" applyBorder="1" applyAlignment="1">
      <alignment horizontal="center" wrapText="1"/>
    </xf>
    <xf numFmtId="0" fontId="69" fillId="0" borderId="56" xfId="0" applyFont="1" applyBorder="1" applyAlignment="1">
      <alignment horizontal="center" wrapText="1"/>
    </xf>
    <xf numFmtId="0" fontId="69" fillId="0" borderId="63" xfId="0" applyFont="1" applyBorder="1" applyAlignment="1">
      <alignment horizontal="center" wrapText="1"/>
    </xf>
    <xf numFmtId="0" fontId="71" fillId="0" borderId="19" xfId="0" applyFont="1" applyFill="1" applyBorder="1" applyAlignment="1">
      <alignment horizontal="justify" wrapText="1"/>
    </xf>
    <xf numFmtId="165" fontId="71" fillId="0" borderId="19" xfId="0" applyNumberFormat="1" applyFont="1" applyFill="1" applyBorder="1" applyAlignment="1">
      <alignment horizontal="center" wrapText="1"/>
    </xf>
    <xf numFmtId="0" fontId="72" fillId="0" borderId="19" xfId="0" applyFont="1" applyFill="1" applyBorder="1" applyAlignment="1">
      <alignment horizontal="left"/>
    </xf>
    <xf numFmtId="0" fontId="5" fillId="0" borderId="88" xfId="0" applyFont="1" applyFill="1" applyBorder="1"/>
  </cellXfs>
  <cellStyles count="5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gyzet 2" xfId="30"/>
    <cellStyle name="Jegyzet 3" xfId="31"/>
    <cellStyle name="Jegyzet 4" xfId="32"/>
    <cellStyle name="Jó" xfId="33" builtinId="26" customBuiltin="1"/>
    <cellStyle name="Kimenet" xfId="34" builtinId="21" customBuiltin="1"/>
    <cellStyle name="Magyarázó szöveg" xfId="35" builtinId="53" customBuiltin="1"/>
    <cellStyle name="Normál" xfId="0" builtinId="0"/>
    <cellStyle name="Normál 2" xfId="36"/>
    <cellStyle name="Normál 2 2" xfId="37"/>
    <cellStyle name="Normál 2 2_2011 gördülő" xfId="38"/>
    <cellStyle name="Normál 2_2011 gördülő" xfId="39"/>
    <cellStyle name="Normál 3" xfId="40"/>
    <cellStyle name="Normál 4" xfId="41"/>
    <cellStyle name="Normál 5" xfId="42"/>
    <cellStyle name="Normal_KTRSZJ" xfId="43"/>
    <cellStyle name="Normál_Munka1" xfId="44"/>
    <cellStyle name="Normál_működési felhalmozási mérleg" xfId="45"/>
    <cellStyle name="Normál_összesítő" xfId="46"/>
    <cellStyle name="Összesen" xfId="47" builtinId="25" customBuiltin="1"/>
    <cellStyle name="Rossz" xfId="48" builtinId="27" customBuiltin="1"/>
    <cellStyle name="Semleges" xfId="49" builtinId="28" customBuiltin="1"/>
    <cellStyle name="Számítás" xfId="50" builtinId="22" customBuiltin="1"/>
    <cellStyle name="Százalék" xfId="5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2:Q68"/>
  <sheetViews>
    <sheetView view="pageBreakPreview" topLeftCell="A4" zoomScale="60" zoomScaleNormal="100" workbookViewId="0">
      <selection activeCell="N6" sqref="N6"/>
    </sheetView>
  </sheetViews>
  <sheetFormatPr defaultRowHeight="12.75" x14ac:dyDescent="0.2"/>
  <cols>
    <col min="1" max="1" width="64.7109375" style="467" customWidth="1"/>
    <col min="2" max="2" width="11.7109375" style="468" customWidth="1"/>
    <col min="3" max="3" width="12.5703125" style="472" customWidth="1"/>
    <col min="4" max="4" width="12.5703125" style="467" customWidth="1"/>
    <col min="5" max="5" width="12.5703125" style="470" customWidth="1"/>
    <col min="6" max="6" width="12.28515625" style="470" customWidth="1"/>
    <col min="7" max="7" width="12.5703125" style="467" customWidth="1"/>
    <col min="8" max="8" width="13" customWidth="1"/>
    <col min="9" max="9" width="13.140625" customWidth="1"/>
    <col min="10" max="12" width="12.7109375" customWidth="1"/>
    <col min="13" max="13" width="13" customWidth="1"/>
    <col min="14" max="14" width="13.42578125" customWidth="1"/>
  </cols>
  <sheetData>
    <row r="2" spans="1:17" ht="49.5" customHeight="1" x14ac:dyDescent="0.2">
      <c r="A2" s="909" t="s">
        <v>523</v>
      </c>
      <c r="B2" s="909"/>
      <c r="C2" s="909"/>
      <c r="D2" s="909"/>
      <c r="E2" s="909"/>
      <c r="F2" s="909"/>
      <c r="G2" s="909"/>
      <c r="H2" s="909"/>
      <c r="I2" s="909"/>
      <c r="J2" s="909"/>
      <c r="K2" s="909"/>
      <c r="L2" s="909"/>
      <c r="M2" s="909"/>
      <c r="N2" s="909"/>
    </row>
    <row r="4" spans="1:17" ht="16.5" thickBot="1" x14ac:dyDescent="0.3">
      <c r="C4" s="774"/>
      <c r="F4" s="472"/>
      <c r="N4" s="471" t="s">
        <v>287</v>
      </c>
    </row>
    <row r="5" spans="1:17" ht="16.5" x14ac:dyDescent="0.2">
      <c r="A5" s="910" t="s">
        <v>288</v>
      </c>
      <c r="B5" s="912" t="s">
        <v>524</v>
      </c>
      <c r="C5" s="914" t="s">
        <v>145</v>
      </c>
      <c r="D5" s="915"/>
      <c r="E5" s="916" t="s">
        <v>171</v>
      </c>
      <c r="F5" s="917"/>
      <c r="G5" s="918" t="s">
        <v>172</v>
      </c>
      <c r="H5" s="915"/>
      <c r="I5" s="918" t="s">
        <v>173</v>
      </c>
      <c r="J5" s="915"/>
      <c r="K5" s="919" t="s">
        <v>290</v>
      </c>
      <c r="L5" s="920"/>
      <c r="M5" s="918" t="s">
        <v>117</v>
      </c>
      <c r="N5" s="915"/>
    </row>
    <row r="6" spans="1:17" ht="50.25" thickBot="1" x14ac:dyDescent="0.25">
      <c r="A6" s="911"/>
      <c r="B6" s="913"/>
      <c r="C6" s="783" t="s">
        <v>461</v>
      </c>
      <c r="D6" s="781" t="s">
        <v>525</v>
      </c>
      <c r="E6" s="782" t="s">
        <v>461</v>
      </c>
      <c r="F6" s="781" t="s">
        <v>525</v>
      </c>
      <c r="G6" s="782" t="s">
        <v>461</v>
      </c>
      <c r="H6" s="781" t="s">
        <v>525</v>
      </c>
      <c r="I6" s="782" t="s">
        <v>461</v>
      </c>
      <c r="J6" s="781" t="s">
        <v>525</v>
      </c>
      <c r="K6" s="782" t="s">
        <v>461</v>
      </c>
      <c r="L6" s="781" t="s">
        <v>525</v>
      </c>
      <c r="M6" s="782" t="s">
        <v>461</v>
      </c>
      <c r="N6" s="781" t="s">
        <v>525</v>
      </c>
      <c r="O6" s="784"/>
    </row>
    <row r="7" spans="1:17" ht="16.5" x14ac:dyDescent="0.25">
      <c r="A7" s="473" t="s">
        <v>292</v>
      </c>
      <c r="B7" s="474" t="s">
        <v>293</v>
      </c>
      <c r="C7" s="475">
        <v>1101422</v>
      </c>
      <c r="D7" s="476">
        <f t="shared" ref="D7:J7" si="0">D8+D19</f>
        <v>1021442</v>
      </c>
      <c r="E7" s="475">
        <v>3683</v>
      </c>
      <c r="F7" s="476">
        <f t="shared" si="0"/>
        <v>3683</v>
      </c>
      <c r="G7" s="475">
        <v>15800</v>
      </c>
      <c r="H7" s="476">
        <f t="shared" si="0"/>
        <v>15465</v>
      </c>
      <c r="I7" s="477">
        <v>4636</v>
      </c>
      <c r="J7" s="476">
        <f t="shared" si="0"/>
        <v>5200</v>
      </c>
      <c r="K7" s="478">
        <v>3551</v>
      </c>
      <c r="L7" s="476">
        <f>L8+L19</f>
        <v>20216</v>
      </c>
      <c r="M7" s="478">
        <v>1129092</v>
      </c>
      <c r="N7" s="476">
        <f>D7+F7+H7+J7+L7</f>
        <v>1066006</v>
      </c>
    </row>
    <row r="8" spans="1:17" ht="16.5" x14ac:dyDescent="0.25">
      <c r="A8" s="479" t="s">
        <v>294</v>
      </c>
      <c r="B8" s="480"/>
      <c r="C8" s="481">
        <v>947643</v>
      </c>
      <c r="D8" s="482">
        <f>D9+D12+D16+D17</f>
        <v>967428</v>
      </c>
      <c r="E8" s="481">
        <v>3683</v>
      </c>
      <c r="F8" s="482">
        <f t="shared" ref="F8:J8" si="1">F9+F12+F16+F17</f>
        <v>3683</v>
      </c>
      <c r="G8" s="481">
        <v>15800</v>
      </c>
      <c r="H8" s="482">
        <f t="shared" si="1"/>
        <v>15465</v>
      </c>
      <c r="I8" s="483">
        <v>4636</v>
      </c>
      <c r="J8" s="482">
        <f t="shared" si="1"/>
        <v>5200</v>
      </c>
      <c r="K8" s="484">
        <v>3551</v>
      </c>
      <c r="L8" s="482">
        <f>L9+L12+L16+L17</f>
        <v>20216</v>
      </c>
      <c r="M8" s="484">
        <v>975313</v>
      </c>
      <c r="N8" s="485">
        <f t="shared" ref="N8:N36" si="2">D8+F8+H8+J8+L8</f>
        <v>1011992</v>
      </c>
      <c r="P8" s="37"/>
      <c r="Q8" s="37"/>
    </row>
    <row r="9" spans="1:17" ht="16.5" x14ac:dyDescent="0.25">
      <c r="A9" s="486" t="s">
        <v>295</v>
      </c>
      <c r="B9" s="487" t="s">
        <v>296</v>
      </c>
      <c r="C9" s="488">
        <v>486684</v>
      </c>
      <c r="D9" s="489">
        <f>D10+D11</f>
        <v>474662</v>
      </c>
      <c r="E9" s="488">
        <v>0</v>
      </c>
      <c r="F9" s="489">
        <f t="shared" ref="F9:L9" si="3">F10+F11</f>
        <v>0</v>
      </c>
      <c r="G9" s="488">
        <v>0</v>
      </c>
      <c r="H9" s="489">
        <f t="shared" si="3"/>
        <v>0</v>
      </c>
      <c r="I9" s="490">
        <v>0</v>
      </c>
      <c r="J9" s="489">
        <f t="shared" si="3"/>
        <v>0</v>
      </c>
      <c r="K9" s="491">
        <v>0</v>
      </c>
      <c r="L9" s="489">
        <f t="shared" si="3"/>
        <v>19200</v>
      </c>
      <c r="M9" s="484">
        <v>486684</v>
      </c>
      <c r="N9" s="485">
        <f t="shared" si="2"/>
        <v>493862</v>
      </c>
    </row>
    <row r="10" spans="1:17" ht="16.5" x14ac:dyDescent="0.25">
      <c r="A10" s="492" t="s">
        <v>297</v>
      </c>
      <c r="B10" s="493" t="s">
        <v>298</v>
      </c>
      <c r="C10" s="490">
        <v>472284</v>
      </c>
      <c r="D10" s="489">
        <v>473767</v>
      </c>
      <c r="E10" s="488"/>
      <c r="F10" s="489"/>
      <c r="G10" s="488"/>
      <c r="H10" s="489"/>
      <c r="I10" s="490"/>
      <c r="J10" s="489"/>
      <c r="K10" s="491"/>
      <c r="L10" s="494"/>
      <c r="M10" s="484">
        <v>472284</v>
      </c>
      <c r="N10" s="485">
        <f t="shared" si="2"/>
        <v>473767</v>
      </c>
    </row>
    <row r="11" spans="1:17" ht="16.5" x14ac:dyDescent="0.25">
      <c r="A11" s="492" t="s">
        <v>299</v>
      </c>
      <c r="B11" s="493" t="s">
        <v>300</v>
      </c>
      <c r="C11" s="490">
        <v>14400</v>
      </c>
      <c r="D11" s="489">
        <v>895</v>
      </c>
      <c r="E11" s="488"/>
      <c r="F11" s="489"/>
      <c r="G11" s="488"/>
      <c r="H11" s="489"/>
      <c r="I11" s="490"/>
      <c r="J11" s="489"/>
      <c r="K11" s="491"/>
      <c r="L11" s="494">
        <v>19200</v>
      </c>
      <c r="M11" s="484">
        <v>14400</v>
      </c>
      <c r="N11" s="485">
        <f t="shared" si="2"/>
        <v>20095</v>
      </c>
    </row>
    <row r="12" spans="1:17" ht="16.5" x14ac:dyDescent="0.25">
      <c r="A12" s="495" t="s">
        <v>301</v>
      </c>
      <c r="B12" s="496" t="s">
        <v>302</v>
      </c>
      <c r="C12" s="490">
        <v>419892</v>
      </c>
      <c r="D12" s="489">
        <f t="shared" ref="D12:J12" si="4">SUM(D13:D15)</f>
        <v>438666</v>
      </c>
      <c r="E12" s="488">
        <v>0</v>
      </c>
      <c r="F12" s="489">
        <f t="shared" si="4"/>
        <v>0</v>
      </c>
      <c r="G12" s="488">
        <v>0</v>
      </c>
      <c r="H12" s="489">
        <f t="shared" si="4"/>
        <v>0</v>
      </c>
      <c r="I12" s="490">
        <v>0</v>
      </c>
      <c r="J12" s="489">
        <f t="shared" si="4"/>
        <v>0</v>
      </c>
      <c r="K12" s="491">
        <v>0</v>
      </c>
      <c r="L12" s="489">
        <f>SUM(L13:L15)</f>
        <v>0</v>
      </c>
      <c r="M12" s="484">
        <v>419892</v>
      </c>
      <c r="N12" s="485">
        <f t="shared" si="2"/>
        <v>438666</v>
      </c>
    </row>
    <row r="13" spans="1:17" ht="16.5" x14ac:dyDescent="0.25">
      <c r="A13" s="492" t="s">
        <v>303</v>
      </c>
      <c r="B13" s="493" t="s">
        <v>304</v>
      </c>
      <c r="C13" s="490">
        <v>381839</v>
      </c>
      <c r="D13" s="489">
        <v>393907</v>
      </c>
      <c r="E13" s="488"/>
      <c r="F13" s="489"/>
      <c r="G13" s="488"/>
      <c r="H13" s="489"/>
      <c r="I13" s="490"/>
      <c r="J13" s="489"/>
      <c r="K13" s="491"/>
      <c r="L13" s="494"/>
      <c r="M13" s="484">
        <v>381839</v>
      </c>
      <c r="N13" s="485">
        <f t="shared" si="2"/>
        <v>393907</v>
      </c>
    </row>
    <row r="14" spans="1:17" ht="16.5" x14ac:dyDescent="0.25">
      <c r="A14" s="492" t="s">
        <v>305</v>
      </c>
      <c r="B14" s="493" t="s">
        <v>306</v>
      </c>
      <c r="C14" s="490">
        <v>28953</v>
      </c>
      <c r="D14" s="489">
        <v>28259</v>
      </c>
      <c r="E14" s="488"/>
      <c r="F14" s="489"/>
      <c r="G14" s="488"/>
      <c r="H14" s="489"/>
      <c r="I14" s="490"/>
      <c r="J14" s="489"/>
      <c r="K14" s="491"/>
      <c r="L14" s="494"/>
      <c r="M14" s="484">
        <v>28953</v>
      </c>
      <c r="N14" s="485">
        <f t="shared" si="2"/>
        <v>28259</v>
      </c>
    </row>
    <row r="15" spans="1:17" ht="16.5" x14ac:dyDescent="0.25">
      <c r="A15" s="492" t="s">
        <v>526</v>
      </c>
      <c r="B15" s="493" t="s">
        <v>308</v>
      </c>
      <c r="C15" s="490">
        <v>9100</v>
      </c>
      <c r="D15" s="489">
        <v>16500</v>
      </c>
      <c r="E15" s="488"/>
      <c r="F15" s="489"/>
      <c r="G15" s="488"/>
      <c r="H15" s="489"/>
      <c r="I15" s="490"/>
      <c r="J15" s="489"/>
      <c r="K15" s="491"/>
      <c r="L15" s="494"/>
      <c r="M15" s="484">
        <v>9100</v>
      </c>
      <c r="N15" s="485">
        <f t="shared" si="2"/>
        <v>16500</v>
      </c>
    </row>
    <row r="16" spans="1:17" ht="16.5" x14ac:dyDescent="0.25">
      <c r="A16" s="486" t="s">
        <v>309</v>
      </c>
      <c r="B16" s="487" t="s">
        <v>310</v>
      </c>
      <c r="C16" s="490">
        <v>41067</v>
      </c>
      <c r="D16" s="489">
        <v>54100</v>
      </c>
      <c r="E16" s="488">
        <v>3683</v>
      </c>
      <c r="F16" s="489">
        <v>3683</v>
      </c>
      <c r="G16" s="488">
        <v>15800</v>
      </c>
      <c r="H16" s="489">
        <v>15465</v>
      </c>
      <c r="I16" s="490">
        <v>4636</v>
      </c>
      <c r="J16" s="489">
        <v>5200</v>
      </c>
      <c r="K16" s="491">
        <v>3551</v>
      </c>
      <c r="L16" s="494">
        <v>1016</v>
      </c>
      <c r="M16" s="484">
        <v>68737</v>
      </c>
      <c r="N16" s="485">
        <f t="shared" si="2"/>
        <v>79464</v>
      </c>
    </row>
    <row r="17" spans="1:14" ht="16.5" x14ac:dyDescent="0.25">
      <c r="A17" s="486" t="s">
        <v>311</v>
      </c>
      <c r="B17" s="487" t="s">
        <v>312</v>
      </c>
      <c r="C17" s="488">
        <v>0</v>
      </c>
      <c r="D17" s="489">
        <f t="shared" ref="D17:L17" si="5">D18</f>
        <v>0</v>
      </c>
      <c r="E17" s="488">
        <v>0</v>
      </c>
      <c r="F17" s="489">
        <f t="shared" si="5"/>
        <v>0</v>
      </c>
      <c r="G17" s="488">
        <v>0</v>
      </c>
      <c r="H17" s="489">
        <f t="shared" si="5"/>
        <v>0</v>
      </c>
      <c r="I17" s="490">
        <v>0</v>
      </c>
      <c r="J17" s="489">
        <f t="shared" si="5"/>
        <v>0</v>
      </c>
      <c r="K17" s="491">
        <v>0</v>
      </c>
      <c r="L17" s="489">
        <f t="shared" si="5"/>
        <v>0</v>
      </c>
      <c r="M17" s="484">
        <v>0</v>
      </c>
      <c r="N17" s="485">
        <f t="shared" si="2"/>
        <v>0</v>
      </c>
    </row>
    <row r="18" spans="1:14" ht="16.5" x14ac:dyDescent="0.25">
      <c r="A18" s="492" t="s">
        <v>313</v>
      </c>
      <c r="B18" s="493" t="s">
        <v>314</v>
      </c>
      <c r="C18" s="488"/>
      <c r="D18" s="489"/>
      <c r="E18" s="488"/>
      <c r="F18" s="489"/>
      <c r="G18" s="488"/>
      <c r="H18" s="489"/>
      <c r="I18" s="490"/>
      <c r="J18" s="489"/>
      <c r="K18" s="491"/>
      <c r="L18" s="494"/>
      <c r="M18" s="484">
        <v>0</v>
      </c>
      <c r="N18" s="485">
        <f t="shared" si="2"/>
        <v>0</v>
      </c>
    </row>
    <row r="19" spans="1:14" ht="16.5" x14ac:dyDescent="0.25">
      <c r="A19" s="479" t="s">
        <v>315</v>
      </c>
      <c r="B19" s="480"/>
      <c r="C19" s="481">
        <v>153779</v>
      </c>
      <c r="D19" s="482">
        <f t="shared" ref="D19:J19" si="6">D20+D23+D26</f>
        <v>54014</v>
      </c>
      <c r="E19" s="481">
        <v>0</v>
      </c>
      <c r="F19" s="482">
        <f t="shared" si="6"/>
        <v>0</v>
      </c>
      <c r="G19" s="481">
        <v>0</v>
      </c>
      <c r="H19" s="482">
        <f t="shared" si="6"/>
        <v>0</v>
      </c>
      <c r="I19" s="483">
        <v>0</v>
      </c>
      <c r="J19" s="482">
        <f t="shared" si="6"/>
        <v>0</v>
      </c>
      <c r="K19" s="484">
        <v>0</v>
      </c>
      <c r="L19" s="482">
        <f>L20+L23+L26</f>
        <v>0</v>
      </c>
      <c r="M19" s="484">
        <v>153779</v>
      </c>
      <c r="N19" s="485">
        <f t="shared" si="2"/>
        <v>54014</v>
      </c>
    </row>
    <row r="20" spans="1:14" ht="16.5" x14ac:dyDescent="0.25">
      <c r="A20" s="486" t="s">
        <v>316</v>
      </c>
      <c r="B20" s="487" t="s">
        <v>317</v>
      </c>
      <c r="C20" s="488">
        <v>135279</v>
      </c>
      <c r="D20" s="489">
        <f t="shared" ref="D20:J20" si="7">D21+D22</f>
        <v>54014</v>
      </c>
      <c r="E20" s="488">
        <v>0</v>
      </c>
      <c r="F20" s="489">
        <f t="shared" si="7"/>
        <v>0</v>
      </c>
      <c r="G20" s="488">
        <v>0</v>
      </c>
      <c r="H20" s="489">
        <f t="shared" si="7"/>
        <v>0</v>
      </c>
      <c r="I20" s="490">
        <v>0</v>
      </c>
      <c r="J20" s="489">
        <f t="shared" si="7"/>
        <v>0</v>
      </c>
      <c r="K20" s="491">
        <v>0</v>
      </c>
      <c r="L20" s="489">
        <f>L21+L22</f>
        <v>0</v>
      </c>
      <c r="M20" s="484">
        <v>135279</v>
      </c>
      <c r="N20" s="485">
        <f t="shared" si="2"/>
        <v>54014</v>
      </c>
    </row>
    <row r="21" spans="1:14" ht="16.5" x14ac:dyDescent="0.25">
      <c r="A21" s="497" t="s">
        <v>318</v>
      </c>
      <c r="B21" s="496" t="s">
        <v>319</v>
      </c>
      <c r="C21" s="488"/>
      <c r="D21" s="489"/>
      <c r="E21" s="488"/>
      <c r="F21" s="489"/>
      <c r="G21" s="488"/>
      <c r="H21" s="489"/>
      <c r="I21" s="490"/>
      <c r="J21" s="489"/>
      <c r="K21" s="491"/>
      <c r="L21" s="494"/>
      <c r="M21" s="484">
        <v>0</v>
      </c>
      <c r="N21" s="485">
        <f t="shared" si="2"/>
        <v>0</v>
      </c>
    </row>
    <row r="22" spans="1:14" ht="16.5" x14ac:dyDescent="0.25">
      <c r="A22" s="497" t="s">
        <v>320</v>
      </c>
      <c r="B22" s="496" t="s">
        <v>321</v>
      </c>
      <c r="C22" s="490">
        <v>135279</v>
      </c>
      <c r="D22" s="489">
        <f>+'4.2. sz.m_felh.bev.'!C7</f>
        <v>54014</v>
      </c>
      <c r="E22" s="488"/>
      <c r="F22" s="489"/>
      <c r="G22" s="488"/>
      <c r="H22" s="489"/>
      <c r="I22" s="490"/>
      <c r="J22" s="489"/>
      <c r="K22" s="491"/>
      <c r="L22" s="494"/>
      <c r="M22" s="484">
        <v>135279</v>
      </c>
      <c r="N22" s="485">
        <f t="shared" si="2"/>
        <v>54014</v>
      </c>
    </row>
    <row r="23" spans="1:14" ht="16.5" x14ac:dyDescent="0.25">
      <c r="A23" s="486" t="s">
        <v>322</v>
      </c>
      <c r="B23" s="487" t="s">
        <v>323</v>
      </c>
      <c r="C23" s="488">
        <v>16500</v>
      </c>
      <c r="D23" s="489">
        <f t="shared" ref="D23:J23" si="8">D24+D25</f>
        <v>0</v>
      </c>
      <c r="E23" s="488">
        <v>0</v>
      </c>
      <c r="F23" s="489">
        <f t="shared" si="8"/>
        <v>0</v>
      </c>
      <c r="G23" s="488">
        <v>0</v>
      </c>
      <c r="H23" s="489">
        <f t="shared" si="8"/>
        <v>0</v>
      </c>
      <c r="I23" s="490">
        <v>0</v>
      </c>
      <c r="J23" s="489">
        <f t="shared" si="8"/>
        <v>0</v>
      </c>
      <c r="K23" s="491">
        <v>0</v>
      </c>
      <c r="L23" s="489">
        <f>L24+L25</f>
        <v>0</v>
      </c>
      <c r="M23" s="484">
        <v>16500</v>
      </c>
      <c r="N23" s="485">
        <f t="shared" si="2"/>
        <v>0</v>
      </c>
    </row>
    <row r="24" spans="1:14" ht="16.5" x14ac:dyDescent="0.25">
      <c r="A24" s="497" t="s">
        <v>324</v>
      </c>
      <c r="B24" s="496" t="s">
        <v>325</v>
      </c>
      <c r="C24" s="488">
        <v>16500</v>
      </c>
      <c r="D24" s="489"/>
      <c r="E24" s="488"/>
      <c r="F24" s="489"/>
      <c r="G24" s="488"/>
      <c r="H24" s="489"/>
      <c r="I24" s="490"/>
      <c r="J24" s="489"/>
      <c r="K24" s="491"/>
      <c r="L24" s="494"/>
      <c r="M24" s="484">
        <v>16500</v>
      </c>
      <c r="N24" s="485">
        <f t="shared" si="2"/>
        <v>0</v>
      </c>
    </row>
    <row r="25" spans="1:14" ht="16.5" x14ac:dyDescent="0.25">
      <c r="A25" s="497" t="s">
        <v>326</v>
      </c>
      <c r="B25" s="496" t="s">
        <v>327</v>
      </c>
      <c r="C25" s="488"/>
      <c r="D25" s="489"/>
      <c r="E25" s="488"/>
      <c r="F25" s="489"/>
      <c r="G25" s="488"/>
      <c r="H25" s="489"/>
      <c r="I25" s="490"/>
      <c r="J25" s="489"/>
      <c r="K25" s="491"/>
      <c r="L25" s="494"/>
      <c r="M25" s="484">
        <v>0</v>
      </c>
      <c r="N25" s="485">
        <f t="shared" si="2"/>
        <v>0</v>
      </c>
    </row>
    <row r="26" spans="1:14" ht="16.5" x14ac:dyDescent="0.25">
      <c r="A26" s="486" t="s">
        <v>328</v>
      </c>
      <c r="B26" s="487" t="s">
        <v>329</v>
      </c>
      <c r="C26" s="488">
        <v>2000</v>
      </c>
      <c r="D26" s="489">
        <f t="shared" ref="D26:L26" si="9">D27</f>
        <v>0</v>
      </c>
      <c r="E26" s="488">
        <v>0</v>
      </c>
      <c r="F26" s="489">
        <f t="shared" si="9"/>
        <v>0</v>
      </c>
      <c r="G26" s="488">
        <v>0</v>
      </c>
      <c r="H26" s="489">
        <f t="shared" si="9"/>
        <v>0</v>
      </c>
      <c r="I26" s="490">
        <v>0</v>
      </c>
      <c r="J26" s="489">
        <f t="shared" si="9"/>
        <v>0</v>
      </c>
      <c r="K26" s="491">
        <v>0</v>
      </c>
      <c r="L26" s="489">
        <f t="shared" si="9"/>
        <v>0</v>
      </c>
      <c r="M26" s="484">
        <v>2000</v>
      </c>
      <c r="N26" s="485">
        <f t="shared" si="2"/>
        <v>0</v>
      </c>
    </row>
    <row r="27" spans="1:14" ht="16.5" x14ac:dyDescent="0.25">
      <c r="A27" s="497" t="s">
        <v>330</v>
      </c>
      <c r="B27" s="496" t="s">
        <v>331</v>
      </c>
      <c r="C27" s="488">
        <v>2000</v>
      </c>
      <c r="D27" s="489"/>
      <c r="E27" s="488"/>
      <c r="F27" s="489"/>
      <c r="G27" s="488"/>
      <c r="H27" s="489"/>
      <c r="I27" s="490"/>
      <c r="J27" s="489"/>
      <c r="K27" s="491"/>
      <c r="L27" s="494"/>
      <c r="M27" s="484">
        <v>2000</v>
      </c>
      <c r="N27" s="485">
        <f t="shared" si="2"/>
        <v>0</v>
      </c>
    </row>
    <row r="28" spans="1:14" ht="16.5" x14ac:dyDescent="0.25">
      <c r="A28" s="498"/>
      <c r="B28" s="493"/>
      <c r="C28" s="488"/>
      <c r="D28" s="489"/>
      <c r="E28" s="488"/>
      <c r="F28" s="489"/>
      <c r="G28" s="488"/>
      <c r="H28" s="489"/>
      <c r="I28" s="490"/>
      <c r="J28" s="489"/>
      <c r="K28" s="491"/>
      <c r="L28" s="494"/>
      <c r="M28" s="484">
        <v>0</v>
      </c>
      <c r="N28" s="485">
        <f t="shared" si="2"/>
        <v>0</v>
      </c>
    </row>
    <row r="29" spans="1:14" ht="16.5" x14ac:dyDescent="0.25">
      <c r="A29" s="499" t="s">
        <v>332</v>
      </c>
      <c r="B29" s="500" t="s">
        <v>333</v>
      </c>
      <c r="C29" s="481">
        <v>180709</v>
      </c>
      <c r="D29" s="482">
        <f t="shared" ref="D29:L29" si="10">D30</f>
        <v>138802</v>
      </c>
      <c r="E29" s="481">
        <v>211363</v>
      </c>
      <c r="F29" s="482">
        <f t="shared" si="10"/>
        <v>226889</v>
      </c>
      <c r="G29" s="481">
        <v>296155</v>
      </c>
      <c r="H29" s="482">
        <f t="shared" si="10"/>
        <v>290718</v>
      </c>
      <c r="I29" s="483">
        <v>45624</v>
      </c>
      <c r="J29" s="482">
        <f t="shared" si="10"/>
        <v>51581</v>
      </c>
      <c r="K29" s="484">
        <v>60854</v>
      </c>
      <c r="L29" s="482">
        <f t="shared" si="10"/>
        <v>45809</v>
      </c>
      <c r="M29" s="484">
        <v>794705</v>
      </c>
      <c r="N29" s="485">
        <f t="shared" si="2"/>
        <v>753799</v>
      </c>
    </row>
    <row r="30" spans="1:14" ht="16.5" x14ac:dyDescent="0.25">
      <c r="A30" s="479" t="s">
        <v>334</v>
      </c>
      <c r="B30" s="480" t="s">
        <v>335</v>
      </c>
      <c r="C30" s="481">
        <v>180709</v>
      </c>
      <c r="D30" s="482">
        <f t="shared" ref="D30:J30" si="11">D31+D32+D33+D34</f>
        <v>138802</v>
      </c>
      <c r="E30" s="481">
        <v>211363</v>
      </c>
      <c r="F30" s="482">
        <f t="shared" si="11"/>
        <v>226889</v>
      </c>
      <c r="G30" s="481">
        <v>296155</v>
      </c>
      <c r="H30" s="482">
        <f t="shared" si="11"/>
        <v>290718</v>
      </c>
      <c r="I30" s="483">
        <v>45624</v>
      </c>
      <c r="J30" s="482">
        <f t="shared" si="11"/>
        <v>51581</v>
      </c>
      <c r="K30" s="484">
        <v>60854</v>
      </c>
      <c r="L30" s="482">
        <f>L31+L32+L33+L34</f>
        <v>45809</v>
      </c>
      <c r="M30" s="484">
        <v>794705</v>
      </c>
      <c r="N30" s="485">
        <f t="shared" si="2"/>
        <v>753799</v>
      </c>
    </row>
    <row r="31" spans="1:14" ht="16.5" x14ac:dyDescent="0.25">
      <c r="A31" s="486" t="s">
        <v>336</v>
      </c>
      <c r="B31" s="487" t="s">
        <v>337</v>
      </c>
      <c r="C31" s="488"/>
      <c r="D31" s="489"/>
      <c r="E31" s="488"/>
      <c r="F31" s="489"/>
      <c r="G31" s="488"/>
      <c r="H31" s="489"/>
      <c r="I31" s="490"/>
      <c r="J31" s="489"/>
      <c r="K31" s="491"/>
      <c r="L31" s="494"/>
      <c r="M31" s="484">
        <v>0</v>
      </c>
      <c r="N31" s="485">
        <f t="shared" si="2"/>
        <v>0</v>
      </c>
    </row>
    <row r="32" spans="1:14" ht="16.5" x14ac:dyDescent="0.25">
      <c r="A32" s="486" t="s">
        <v>338</v>
      </c>
      <c r="B32" s="487" t="s">
        <v>339</v>
      </c>
      <c r="C32" s="488"/>
      <c r="D32" s="489"/>
      <c r="E32" s="488"/>
      <c r="F32" s="489"/>
      <c r="G32" s="488"/>
      <c r="H32" s="489"/>
      <c r="I32" s="490"/>
      <c r="J32" s="489"/>
      <c r="K32" s="491"/>
      <c r="L32" s="494"/>
      <c r="M32" s="484">
        <v>0</v>
      </c>
      <c r="N32" s="485">
        <f t="shared" si="2"/>
        <v>0</v>
      </c>
    </row>
    <row r="33" spans="1:16" ht="16.5" x14ac:dyDescent="0.25">
      <c r="A33" s="486" t="s">
        <v>340</v>
      </c>
      <c r="B33" s="487" t="s">
        <v>341</v>
      </c>
      <c r="C33" s="490">
        <v>180709</v>
      </c>
      <c r="D33" s="489">
        <v>138802</v>
      </c>
      <c r="E33" s="488"/>
      <c r="F33" s="489"/>
      <c r="G33" s="488"/>
      <c r="H33" s="489"/>
      <c r="I33" s="490"/>
      <c r="J33" s="489"/>
      <c r="K33" s="491"/>
      <c r="L33" s="494"/>
      <c r="M33" s="484">
        <v>180709</v>
      </c>
      <c r="N33" s="485">
        <f t="shared" si="2"/>
        <v>138802</v>
      </c>
    </row>
    <row r="34" spans="1:16" ht="16.5" x14ac:dyDescent="0.25">
      <c r="A34" s="486" t="s">
        <v>342</v>
      </c>
      <c r="B34" s="487" t="s">
        <v>343</v>
      </c>
      <c r="C34" s="488"/>
      <c r="D34" s="489"/>
      <c r="E34" s="488">
        <v>211363</v>
      </c>
      <c r="F34" s="489">
        <v>226889</v>
      </c>
      <c r="G34" s="488">
        <v>296155</v>
      </c>
      <c r="H34" s="489">
        <v>290718</v>
      </c>
      <c r="I34" s="490">
        <v>45624</v>
      </c>
      <c r="J34" s="489">
        <v>51581</v>
      </c>
      <c r="K34" s="491">
        <v>60854</v>
      </c>
      <c r="L34" s="494">
        <v>45809</v>
      </c>
      <c r="M34" s="484">
        <v>613996</v>
      </c>
      <c r="N34" s="485">
        <f t="shared" si="2"/>
        <v>614997</v>
      </c>
    </row>
    <row r="35" spans="1:16" ht="17.25" thickBot="1" x14ac:dyDescent="0.3">
      <c r="A35" s="501"/>
      <c r="B35" s="502"/>
      <c r="C35" s="503"/>
      <c r="D35" s="504"/>
      <c r="E35" s="503"/>
      <c r="F35" s="504"/>
      <c r="G35" s="503"/>
      <c r="H35" s="504"/>
      <c r="I35" s="505"/>
      <c r="J35" s="504"/>
      <c r="K35" s="506"/>
      <c r="L35" s="507"/>
      <c r="M35" s="508">
        <v>0</v>
      </c>
      <c r="N35" s="509">
        <f t="shared" si="2"/>
        <v>0</v>
      </c>
    </row>
    <row r="36" spans="1:16" ht="17.25" thickBot="1" x14ac:dyDescent="0.3">
      <c r="A36" s="510" t="s">
        <v>344</v>
      </c>
      <c r="B36" s="511"/>
      <c r="C36" s="512">
        <v>1282131</v>
      </c>
      <c r="D36" s="512">
        <f t="shared" ref="D36:L36" si="12">D7+D29</f>
        <v>1160244</v>
      </c>
      <c r="E36" s="512">
        <v>215046</v>
      </c>
      <c r="F36" s="512">
        <f t="shared" si="12"/>
        <v>230572</v>
      </c>
      <c r="G36" s="512">
        <v>311955</v>
      </c>
      <c r="H36" s="512">
        <f t="shared" si="12"/>
        <v>306183</v>
      </c>
      <c r="I36" s="513">
        <v>50260</v>
      </c>
      <c r="J36" s="512">
        <f t="shared" si="12"/>
        <v>56781</v>
      </c>
      <c r="K36" s="514">
        <v>64405</v>
      </c>
      <c r="L36" s="512">
        <f t="shared" si="12"/>
        <v>66025</v>
      </c>
      <c r="M36" s="515">
        <v>1923797</v>
      </c>
      <c r="N36" s="512">
        <f t="shared" si="2"/>
        <v>1819805</v>
      </c>
    </row>
    <row r="39" spans="1:16" ht="16.5" thickBot="1" x14ac:dyDescent="0.3">
      <c r="C39" s="774"/>
      <c r="D39" s="471"/>
      <c r="E39" s="469"/>
      <c r="H39" s="467"/>
      <c r="I39" s="467"/>
      <c r="J39" s="171"/>
      <c r="K39" s="171"/>
      <c r="L39" s="171"/>
      <c r="M39" s="467"/>
      <c r="N39" s="471" t="s">
        <v>287</v>
      </c>
    </row>
    <row r="40" spans="1:16" ht="16.5" x14ac:dyDescent="0.2">
      <c r="A40" s="923" t="s">
        <v>345</v>
      </c>
      <c r="B40" s="925" t="s">
        <v>289</v>
      </c>
      <c r="C40" s="927" t="s">
        <v>145</v>
      </c>
      <c r="D40" s="927"/>
      <c r="E40" s="927" t="s">
        <v>171</v>
      </c>
      <c r="F40" s="927"/>
      <c r="G40" s="927" t="s">
        <v>172</v>
      </c>
      <c r="H40" s="927"/>
      <c r="I40" s="927" t="s">
        <v>173</v>
      </c>
      <c r="J40" s="927"/>
      <c r="K40" s="921" t="s">
        <v>290</v>
      </c>
      <c r="L40" s="922"/>
      <c r="M40" s="914" t="s">
        <v>117</v>
      </c>
      <c r="N40" s="915"/>
    </row>
    <row r="41" spans="1:16" ht="50.25" thickBot="1" x14ac:dyDescent="0.25">
      <c r="A41" s="924"/>
      <c r="B41" s="926"/>
      <c r="C41" s="775" t="s">
        <v>461</v>
      </c>
      <c r="D41" s="781" t="s">
        <v>525</v>
      </c>
      <c r="E41" s="516" t="s">
        <v>461</v>
      </c>
      <c r="F41" s="781" t="s">
        <v>525</v>
      </c>
      <c r="G41" s="516" t="s">
        <v>461</v>
      </c>
      <c r="H41" s="781" t="s">
        <v>525</v>
      </c>
      <c r="I41" s="516" t="s">
        <v>461</v>
      </c>
      <c r="J41" s="781" t="s">
        <v>525</v>
      </c>
      <c r="K41" s="516" t="s">
        <v>461</v>
      </c>
      <c r="L41" s="781" t="s">
        <v>525</v>
      </c>
      <c r="M41" s="516" t="s">
        <v>461</v>
      </c>
      <c r="N41" s="879" t="s">
        <v>525</v>
      </c>
    </row>
    <row r="42" spans="1:16" ht="16.5" x14ac:dyDescent="0.25">
      <c r="A42" s="473" t="s">
        <v>346</v>
      </c>
      <c r="B42" s="474" t="s">
        <v>347</v>
      </c>
      <c r="C42" s="776">
        <v>668135</v>
      </c>
      <c r="D42" s="518">
        <f t="shared" ref="D42:H42" si="13">D43+D52</f>
        <v>545247</v>
      </c>
      <c r="E42" s="517">
        <v>215046</v>
      </c>
      <c r="F42" s="518">
        <f t="shared" si="13"/>
        <v>230572</v>
      </c>
      <c r="G42" s="517">
        <v>311955</v>
      </c>
      <c r="H42" s="519">
        <f t="shared" si="13"/>
        <v>306183</v>
      </c>
      <c r="I42" s="517">
        <v>50260</v>
      </c>
      <c r="J42" s="520">
        <f>J43+J52</f>
        <v>56781</v>
      </c>
      <c r="K42" s="759">
        <v>64405</v>
      </c>
      <c r="L42" s="749">
        <f>L43+L52</f>
        <v>66025</v>
      </c>
      <c r="M42" s="476">
        <f>C42+E42+G42+I42+K42</f>
        <v>1309801</v>
      </c>
      <c r="N42" s="835">
        <f>D42+F42+H42+J42+L42</f>
        <v>1204808</v>
      </c>
      <c r="P42" s="37"/>
    </row>
    <row r="43" spans="1:16" ht="16.5" x14ac:dyDescent="0.25">
      <c r="A43" s="479" t="s">
        <v>294</v>
      </c>
      <c r="B43" s="480"/>
      <c r="C43" s="777">
        <v>433196</v>
      </c>
      <c r="D43" s="522">
        <f t="shared" ref="D43:H43" si="14">D44+D45+D46+D47+D48</f>
        <v>501797</v>
      </c>
      <c r="E43" s="521">
        <v>208061</v>
      </c>
      <c r="F43" s="522">
        <f t="shared" si="14"/>
        <v>225162</v>
      </c>
      <c r="G43" s="521">
        <v>308869</v>
      </c>
      <c r="H43" s="523">
        <f t="shared" si="14"/>
        <v>304621</v>
      </c>
      <c r="I43" s="521">
        <v>46360</v>
      </c>
      <c r="J43" s="524">
        <f>J44+J45+J46+J47+J48</f>
        <v>52755</v>
      </c>
      <c r="K43" s="760">
        <v>60836</v>
      </c>
      <c r="L43" s="750">
        <f>L44+L45+L46+L47+L48</f>
        <v>65390</v>
      </c>
      <c r="M43" s="485">
        <f t="shared" ref="M43:N63" si="15">C43+E43+G43+I43+K43</f>
        <v>1057322</v>
      </c>
      <c r="N43" s="485">
        <f t="shared" si="15"/>
        <v>1149725</v>
      </c>
    </row>
    <row r="44" spans="1:16" ht="16.5" x14ac:dyDescent="0.25">
      <c r="A44" s="498" t="s">
        <v>348</v>
      </c>
      <c r="B44" s="493" t="s">
        <v>349</v>
      </c>
      <c r="C44" s="778">
        <v>19768</v>
      </c>
      <c r="D44" s="527">
        <v>33994</v>
      </c>
      <c r="E44" s="529">
        <v>126438</v>
      </c>
      <c r="F44" s="527">
        <v>143678</v>
      </c>
      <c r="G44" s="526">
        <v>168984</v>
      </c>
      <c r="H44" s="528">
        <v>183174</v>
      </c>
      <c r="I44" s="526">
        <v>20057</v>
      </c>
      <c r="J44" s="529">
        <v>24197</v>
      </c>
      <c r="K44" s="761">
        <v>35980</v>
      </c>
      <c r="L44" s="751">
        <v>41748</v>
      </c>
      <c r="M44" s="485">
        <f t="shared" si="15"/>
        <v>371227</v>
      </c>
      <c r="N44" s="485">
        <f t="shared" si="15"/>
        <v>426791</v>
      </c>
    </row>
    <row r="45" spans="1:16" ht="16.5" x14ac:dyDescent="0.25">
      <c r="A45" s="498" t="s">
        <v>350</v>
      </c>
      <c r="B45" s="493" t="s">
        <v>351</v>
      </c>
      <c r="C45" s="778">
        <v>5412</v>
      </c>
      <c r="D45" s="527">
        <v>7479</v>
      </c>
      <c r="E45" s="529">
        <v>35102</v>
      </c>
      <c r="F45" s="527">
        <v>32202</v>
      </c>
      <c r="G45" s="526">
        <v>45626</v>
      </c>
      <c r="H45" s="528">
        <v>44144</v>
      </c>
      <c r="I45" s="526">
        <v>5415</v>
      </c>
      <c r="J45" s="529">
        <v>5558</v>
      </c>
      <c r="K45" s="761">
        <v>9714</v>
      </c>
      <c r="L45" s="751">
        <v>9441</v>
      </c>
      <c r="M45" s="485">
        <f t="shared" si="15"/>
        <v>101269</v>
      </c>
      <c r="N45" s="485">
        <f t="shared" si="15"/>
        <v>98824</v>
      </c>
    </row>
    <row r="46" spans="1:16" ht="16.5" x14ac:dyDescent="0.25">
      <c r="A46" s="498" t="s">
        <v>352</v>
      </c>
      <c r="B46" s="493" t="s">
        <v>353</v>
      </c>
      <c r="C46" s="778">
        <v>194963</v>
      </c>
      <c r="D46" s="527">
        <v>257788</v>
      </c>
      <c r="E46" s="529">
        <v>46521</v>
      </c>
      <c r="F46" s="527">
        <v>49282</v>
      </c>
      <c r="G46" s="526">
        <v>94259</v>
      </c>
      <c r="H46" s="528">
        <v>77303</v>
      </c>
      <c r="I46" s="526">
        <v>20888</v>
      </c>
      <c r="J46" s="529">
        <v>23000</v>
      </c>
      <c r="K46" s="761">
        <v>15142</v>
      </c>
      <c r="L46" s="751">
        <v>14201</v>
      </c>
      <c r="M46" s="485">
        <f t="shared" si="15"/>
        <v>371773</v>
      </c>
      <c r="N46" s="485">
        <f t="shared" si="15"/>
        <v>421574</v>
      </c>
    </row>
    <row r="47" spans="1:16" ht="16.5" x14ac:dyDescent="0.25">
      <c r="A47" s="498" t="s">
        <v>354</v>
      </c>
      <c r="B47" s="493" t="s">
        <v>355</v>
      </c>
      <c r="C47" s="778">
        <v>35763</v>
      </c>
      <c r="D47" s="527">
        <v>36898</v>
      </c>
      <c r="E47" s="529"/>
      <c r="F47" s="527"/>
      <c r="G47" s="526"/>
      <c r="H47" s="528"/>
      <c r="I47" s="526"/>
      <c r="J47" s="529"/>
      <c r="K47" s="756"/>
      <c r="L47" s="751"/>
      <c r="M47" s="485">
        <f t="shared" si="15"/>
        <v>35763</v>
      </c>
      <c r="N47" s="485">
        <f t="shared" si="15"/>
        <v>36898</v>
      </c>
    </row>
    <row r="48" spans="1:16" ht="16.5" x14ac:dyDescent="0.25">
      <c r="A48" s="498" t="s">
        <v>356</v>
      </c>
      <c r="B48" s="493" t="s">
        <v>357</v>
      </c>
      <c r="C48" s="778">
        <v>177290</v>
      </c>
      <c r="D48" s="527">
        <f t="shared" ref="D48:L48" si="16">D49+D50+D51</f>
        <v>165638</v>
      </c>
      <c r="E48" s="526">
        <v>0</v>
      </c>
      <c r="F48" s="527">
        <f t="shared" si="16"/>
        <v>0</v>
      </c>
      <c r="G48" s="526">
        <v>0</v>
      </c>
      <c r="H48" s="528">
        <f t="shared" si="16"/>
        <v>0</v>
      </c>
      <c r="I48" s="526">
        <v>0</v>
      </c>
      <c r="J48" s="529">
        <f t="shared" si="16"/>
        <v>0</v>
      </c>
      <c r="K48" s="756">
        <v>0</v>
      </c>
      <c r="L48" s="751">
        <f t="shared" si="16"/>
        <v>0</v>
      </c>
      <c r="M48" s="485">
        <f t="shared" si="15"/>
        <v>177290</v>
      </c>
      <c r="N48" s="485">
        <f t="shared" si="15"/>
        <v>165638</v>
      </c>
    </row>
    <row r="49" spans="1:14" ht="16.5" x14ac:dyDescent="0.25">
      <c r="A49" s="492" t="s">
        <v>358</v>
      </c>
      <c r="B49" s="493" t="s">
        <v>359</v>
      </c>
      <c r="C49" s="778"/>
      <c r="D49" s="527"/>
      <c r="E49" s="526"/>
      <c r="F49" s="527"/>
      <c r="G49" s="526"/>
      <c r="H49" s="528"/>
      <c r="I49" s="526"/>
      <c r="J49" s="529"/>
      <c r="K49" s="756"/>
      <c r="L49" s="751"/>
      <c r="M49" s="485">
        <f t="shared" si="15"/>
        <v>0</v>
      </c>
      <c r="N49" s="485">
        <f t="shared" si="15"/>
        <v>0</v>
      </c>
    </row>
    <row r="50" spans="1:14" ht="16.5" x14ac:dyDescent="0.25">
      <c r="A50" s="492" t="s">
        <v>360</v>
      </c>
      <c r="B50" s="493" t="s">
        <v>361</v>
      </c>
      <c r="C50" s="778">
        <v>153019</v>
      </c>
      <c r="D50" s="527">
        <f>+'7.sz.Műk.c.átadott.pe. '!C32</f>
        <v>127283</v>
      </c>
      <c r="E50" s="526"/>
      <c r="F50" s="527"/>
      <c r="G50" s="526"/>
      <c r="H50" s="528"/>
      <c r="I50" s="526"/>
      <c r="J50" s="529"/>
      <c r="K50" s="756"/>
      <c r="L50" s="751"/>
      <c r="M50" s="485">
        <f t="shared" si="15"/>
        <v>153019</v>
      </c>
      <c r="N50" s="485">
        <f t="shared" si="15"/>
        <v>127283</v>
      </c>
    </row>
    <row r="51" spans="1:14" ht="16.5" x14ac:dyDescent="0.25">
      <c r="A51" s="492" t="s">
        <v>362</v>
      </c>
      <c r="B51" s="493" t="s">
        <v>363</v>
      </c>
      <c r="C51" s="778">
        <v>24271</v>
      </c>
      <c r="D51" s="527">
        <f>+'8.sz.m Tartalékok'!B8</f>
        <v>38355</v>
      </c>
      <c r="E51" s="526"/>
      <c r="F51" s="527"/>
      <c r="G51" s="526"/>
      <c r="H51" s="528"/>
      <c r="I51" s="526"/>
      <c r="J51" s="529"/>
      <c r="K51" s="756"/>
      <c r="L51" s="751"/>
      <c r="M51" s="485">
        <f t="shared" si="15"/>
        <v>24271</v>
      </c>
      <c r="N51" s="485">
        <f t="shared" si="15"/>
        <v>38355</v>
      </c>
    </row>
    <row r="52" spans="1:14" ht="16.5" x14ac:dyDescent="0.25">
      <c r="A52" s="479" t="s">
        <v>364</v>
      </c>
      <c r="B52" s="480"/>
      <c r="C52" s="777">
        <v>234939</v>
      </c>
      <c r="D52" s="522">
        <f t="shared" ref="D52:H52" si="17">D53+D54+D55</f>
        <v>43450</v>
      </c>
      <c r="E52" s="521">
        <v>6985</v>
      </c>
      <c r="F52" s="522">
        <f t="shared" si="17"/>
        <v>5410</v>
      </c>
      <c r="G52" s="521">
        <v>3086</v>
      </c>
      <c r="H52" s="523">
        <f t="shared" si="17"/>
        <v>1562</v>
      </c>
      <c r="I52" s="521">
        <v>3900</v>
      </c>
      <c r="J52" s="524">
        <f>J53+J54+J55</f>
        <v>4026</v>
      </c>
      <c r="K52" s="880">
        <f>K53+K54+K55</f>
        <v>3569</v>
      </c>
      <c r="L52" s="750">
        <f>L53+L54+L55</f>
        <v>635</v>
      </c>
      <c r="M52" s="485">
        <f t="shared" si="15"/>
        <v>252479</v>
      </c>
      <c r="N52" s="485">
        <f t="shared" si="15"/>
        <v>55083</v>
      </c>
    </row>
    <row r="53" spans="1:14" ht="16.5" x14ac:dyDescent="0.25">
      <c r="A53" s="498" t="s">
        <v>365</v>
      </c>
      <c r="B53" s="493" t="s">
        <v>366</v>
      </c>
      <c r="C53" s="778">
        <v>216939</v>
      </c>
      <c r="D53" s="527">
        <f>+'6.2. sz.m.felh.kiadás'!C15</f>
        <v>33450</v>
      </c>
      <c r="E53" s="529">
        <v>6985</v>
      </c>
      <c r="F53" s="527">
        <v>3632</v>
      </c>
      <c r="G53" s="526">
        <v>3086</v>
      </c>
      <c r="H53" s="528">
        <v>1562</v>
      </c>
      <c r="I53" s="526">
        <v>3900</v>
      </c>
      <c r="J53" s="529">
        <v>2413</v>
      </c>
      <c r="K53" s="881">
        <v>3569</v>
      </c>
      <c r="L53" s="751">
        <v>635</v>
      </c>
      <c r="M53" s="485">
        <f t="shared" si="15"/>
        <v>234479</v>
      </c>
      <c r="N53" s="485">
        <f t="shared" si="15"/>
        <v>41692</v>
      </c>
    </row>
    <row r="54" spans="1:14" ht="16.5" x14ac:dyDescent="0.25">
      <c r="A54" s="498" t="s">
        <v>367</v>
      </c>
      <c r="B54" s="493" t="s">
        <v>368</v>
      </c>
      <c r="C54" s="778"/>
      <c r="D54" s="527"/>
      <c r="E54" s="526"/>
      <c r="F54" s="527">
        <v>1778</v>
      </c>
      <c r="G54" s="526"/>
      <c r="H54" s="528"/>
      <c r="I54" s="526"/>
      <c r="J54" s="529">
        <v>1613</v>
      </c>
      <c r="K54" s="756"/>
      <c r="L54" s="751"/>
      <c r="M54" s="485">
        <f t="shared" si="15"/>
        <v>0</v>
      </c>
      <c r="N54" s="485">
        <f t="shared" si="15"/>
        <v>3391</v>
      </c>
    </row>
    <row r="55" spans="1:14" ht="16.5" x14ac:dyDescent="0.25">
      <c r="A55" s="498" t="s">
        <v>369</v>
      </c>
      <c r="B55" s="493" t="s">
        <v>370</v>
      </c>
      <c r="C55" s="778">
        <v>18000</v>
      </c>
      <c r="D55" s="527">
        <f t="shared" ref="D55:H55" si="18">D56+D57</f>
        <v>10000</v>
      </c>
      <c r="E55" s="526">
        <v>0</v>
      </c>
      <c r="F55" s="527">
        <f t="shared" si="18"/>
        <v>0</v>
      </c>
      <c r="G55" s="526">
        <v>0</v>
      </c>
      <c r="H55" s="528">
        <f t="shared" si="18"/>
        <v>0</v>
      </c>
      <c r="I55" s="526">
        <v>0</v>
      </c>
      <c r="J55" s="529">
        <f>J56+J57</f>
        <v>0</v>
      </c>
      <c r="K55" s="756">
        <v>0</v>
      </c>
      <c r="L55" s="751">
        <f>L56+L57</f>
        <v>0</v>
      </c>
      <c r="M55" s="485">
        <f t="shared" si="15"/>
        <v>18000</v>
      </c>
      <c r="N55" s="485">
        <f t="shared" si="15"/>
        <v>10000</v>
      </c>
    </row>
    <row r="56" spans="1:14" ht="16.5" x14ac:dyDescent="0.25">
      <c r="A56" s="492" t="s">
        <v>371</v>
      </c>
      <c r="B56" s="493" t="s">
        <v>372</v>
      </c>
      <c r="C56" s="778"/>
      <c r="D56" s="527"/>
      <c r="E56" s="526"/>
      <c r="F56" s="527"/>
      <c r="G56" s="526"/>
      <c r="H56" s="528"/>
      <c r="I56" s="526"/>
      <c r="J56" s="529"/>
      <c r="K56" s="756"/>
      <c r="L56" s="751"/>
      <c r="M56" s="485">
        <f t="shared" si="15"/>
        <v>0</v>
      </c>
      <c r="N56" s="485">
        <f t="shared" si="15"/>
        <v>0</v>
      </c>
    </row>
    <row r="57" spans="1:14" ht="16.5" x14ac:dyDescent="0.25">
      <c r="A57" s="492" t="s">
        <v>373</v>
      </c>
      <c r="B57" s="493" t="s">
        <v>374</v>
      </c>
      <c r="C57" s="778">
        <v>18000</v>
      </c>
      <c r="D57" s="527">
        <f>+'7.2.sz.Felh.c.átadott pe.'!C6</f>
        <v>10000</v>
      </c>
      <c r="E57" s="526"/>
      <c r="F57" s="527"/>
      <c r="G57" s="526"/>
      <c r="H57" s="528"/>
      <c r="I57" s="526"/>
      <c r="J57" s="529"/>
      <c r="K57" s="756"/>
      <c r="L57" s="751"/>
      <c r="M57" s="485">
        <f t="shared" si="15"/>
        <v>18000</v>
      </c>
      <c r="N57" s="485">
        <f t="shared" si="15"/>
        <v>10000</v>
      </c>
    </row>
    <row r="58" spans="1:14" ht="16.5" x14ac:dyDescent="0.25">
      <c r="A58" s="492"/>
      <c r="B58" s="493"/>
      <c r="C58" s="778"/>
      <c r="D58" s="527"/>
      <c r="E58" s="526"/>
      <c r="F58" s="527"/>
      <c r="G58" s="526"/>
      <c r="H58" s="528"/>
      <c r="I58" s="526"/>
      <c r="J58" s="529"/>
      <c r="K58" s="756"/>
      <c r="L58" s="751"/>
      <c r="M58" s="485">
        <f t="shared" si="15"/>
        <v>0</v>
      </c>
      <c r="N58" s="485">
        <f t="shared" si="15"/>
        <v>0</v>
      </c>
    </row>
    <row r="59" spans="1:14" ht="16.5" x14ac:dyDescent="0.25">
      <c r="A59" s="499" t="s">
        <v>375</v>
      </c>
      <c r="B59" s="500" t="s">
        <v>376</v>
      </c>
      <c r="C59" s="779">
        <v>613996</v>
      </c>
      <c r="D59" s="531">
        <f t="shared" ref="D59:J59" si="19">D60</f>
        <v>614997</v>
      </c>
      <c r="E59" s="530">
        <v>0</v>
      </c>
      <c r="F59" s="531">
        <f t="shared" si="19"/>
        <v>0</v>
      </c>
      <c r="G59" s="530">
        <v>0</v>
      </c>
      <c r="H59" s="532">
        <f t="shared" si="19"/>
        <v>0</v>
      </c>
      <c r="I59" s="530">
        <v>0</v>
      </c>
      <c r="J59" s="533">
        <f t="shared" si="19"/>
        <v>0</v>
      </c>
      <c r="K59" s="757">
        <v>0</v>
      </c>
      <c r="L59" s="752">
        <f>L60</f>
        <v>0</v>
      </c>
      <c r="M59" s="485">
        <f t="shared" si="15"/>
        <v>613996</v>
      </c>
      <c r="N59" s="485">
        <f t="shared" si="15"/>
        <v>614997</v>
      </c>
    </row>
    <row r="60" spans="1:14" ht="16.5" x14ac:dyDescent="0.25">
      <c r="A60" s="479" t="s">
        <v>377</v>
      </c>
      <c r="B60" s="480" t="s">
        <v>378</v>
      </c>
      <c r="C60" s="777">
        <v>613996</v>
      </c>
      <c r="D60" s="522">
        <f t="shared" ref="D60:H60" si="20">D61+D62+D63</f>
        <v>614997</v>
      </c>
      <c r="E60" s="521">
        <v>0</v>
      </c>
      <c r="F60" s="522">
        <f t="shared" si="20"/>
        <v>0</v>
      </c>
      <c r="G60" s="521">
        <v>0</v>
      </c>
      <c r="H60" s="523">
        <f t="shared" si="20"/>
        <v>0</v>
      </c>
      <c r="I60" s="521">
        <v>0</v>
      </c>
      <c r="J60" s="524">
        <f>J61+J62+J63</f>
        <v>0</v>
      </c>
      <c r="K60" s="755">
        <v>0</v>
      </c>
      <c r="L60" s="750">
        <f>L61+L62+L63</f>
        <v>0</v>
      </c>
      <c r="M60" s="525">
        <f t="shared" si="15"/>
        <v>613996</v>
      </c>
      <c r="N60" s="525">
        <f t="shared" si="15"/>
        <v>614997</v>
      </c>
    </row>
    <row r="61" spans="1:14" ht="16.5" x14ac:dyDescent="0.25">
      <c r="A61" s="498" t="s">
        <v>379</v>
      </c>
      <c r="B61" s="493" t="s">
        <v>380</v>
      </c>
      <c r="C61" s="778"/>
      <c r="D61" s="527"/>
      <c r="E61" s="526"/>
      <c r="F61" s="527"/>
      <c r="G61" s="526"/>
      <c r="H61" s="528"/>
      <c r="I61" s="526"/>
      <c r="J61" s="529"/>
      <c r="K61" s="756"/>
      <c r="L61" s="751"/>
      <c r="M61" s="525">
        <f t="shared" si="15"/>
        <v>0</v>
      </c>
      <c r="N61" s="525">
        <f t="shared" si="15"/>
        <v>0</v>
      </c>
    </row>
    <row r="62" spans="1:14" ht="16.5" x14ac:dyDescent="0.25">
      <c r="A62" s="498" t="s">
        <v>381</v>
      </c>
      <c r="B62" s="493" t="s">
        <v>382</v>
      </c>
      <c r="C62" s="778"/>
      <c r="D62" s="527"/>
      <c r="E62" s="526"/>
      <c r="F62" s="527"/>
      <c r="G62" s="526"/>
      <c r="H62" s="528"/>
      <c r="I62" s="526"/>
      <c r="J62" s="529"/>
      <c r="K62" s="756"/>
      <c r="L62" s="751"/>
      <c r="M62" s="525">
        <f t="shared" si="15"/>
        <v>0</v>
      </c>
      <c r="N62" s="525">
        <f t="shared" si="15"/>
        <v>0</v>
      </c>
    </row>
    <row r="63" spans="1:14" ht="16.5" x14ac:dyDescent="0.25">
      <c r="A63" s="498" t="s">
        <v>383</v>
      </c>
      <c r="B63" s="493" t="s">
        <v>384</v>
      </c>
      <c r="C63" s="778">
        <v>613996</v>
      </c>
      <c r="D63" s="527">
        <f>+F34+H34+J34+L34</f>
        <v>614997</v>
      </c>
      <c r="E63" s="526"/>
      <c r="F63" s="527"/>
      <c r="G63" s="526"/>
      <c r="H63" s="528"/>
      <c r="I63" s="526"/>
      <c r="J63" s="529"/>
      <c r="K63" s="756"/>
      <c r="L63" s="751"/>
      <c r="M63" s="525">
        <f t="shared" si="15"/>
        <v>613996</v>
      </c>
      <c r="N63" s="525">
        <f t="shared" si="15"/>
        <v>614997</v>
      </c>
    </row>
    <row r="64" spans="1:14" ht="16.5" thickBot="1" x14ac:dyDescent="0.3">
      <c r="A64" s="534"/>
      <c r="B64" s="502"/>
      <c r="C64" s="780"/>
      <c r="D64" s="536"/>
      <c r="E64" s="535"/>
      <c r="F64" s="536"/>
      <c r="G64" s="535"/>
      <c r="H64" s="537"/>
      <c r="I64" s="535"/>
      <c r="J64" s="538"/>
      <c r="K64" s="758"/>
      <c r="L64" s="753"/>
      <c r="M64" s="539"/>
      <c r="N64" s="539"/>
    </row>
    <row r="65" spans="1:14" ht="17.25" thickBot="1" x14ac:dyDescent="0.3">
      <c r="A65" s="510" t="s">
        <v>385</v>
      </c>
      <c r="B65" s="511"/>
      <c r="C65" s="541">
        <v>1282131</v>
      </c>
      <c r="D65" s="541">
        <f t="shared" ref="D65:N65" si="21">D42+D59</f>
        <v>1160244</v>
      </c>
      <c r="E65" s="540">
        <v>215046</v>
      </c>
      <c r="F65" s="541">
        <f t="shared" si="21"/>
        <v>230572</v>
      </c>
      <c r="G65" s="540">
        <v>311955</v>
      </c>
      <c r="H65" s="540">
        <f t="shared" si="21"/>
        <v>306183</v>
      </c>
      <c r="I65" s="540">
        <v>50260</v>
      </c>
      <c r="J65" s="542">
        <f t="shared" si="21"/>
        <v>56781</v>
      </c>
      <c r="K65" s="762">
        <v>64405</v>
      </c>
      <c r="L65" s="754">
        <f t="shared" si="21"/>
        <v>66025</v>
      </c>
      <c r="M65" s="543">
        <f t="shared" ref="M65" si="22">M42+M59</f>
        <v>1923797</v>
      </c>
      <c r="N65" s="543">
        <f t="shared" si="21"/>
        <v>1819805</v>
      </c>
    </row>
    <row r="67" spans="1:14" x14ac:dyDescent="0.2">
      <c r="D67" s="469">
        <f>+D36-D65</f>
        <v>0</v>
      </c>
    </row>
    <row r="68" spans="1:14" x14ac:dyDescent="0.2">
      <c r="N68" s="37">
        <f>+N36-N65</f>
        <v>0</v>
      </c>
    </row>
  </sheetData>
  <mergeCells count="17">
    <mergeCell ref="K40:L40"/>
    <mergeCell ref="M40:N40"/>
    <mergeCell ref="A40:A41"/>
    <mergeCell ref="B40:B41"/>
    <mergeCell ref="C40:D40"/>
    <mergeCell ref="E40:F40"/>
    <mergeCell ref="G40:H40"/>
    <mergeCell ref="I40:J40"/>
    <mergeCell ref="A2:N2"/>
    <mergeCell ref="A5:A6"/>
    <mergeCell ref="B5:B6"/>
    <mergeCell ref="C5:D5"/>
    <mergeCell ref="E5:F5"/>
    <mergeCell ref="G5:H5"/>
    <mergeCell ref="I5:J5"/>
    <mergeCell ref="K5:L5"/>
    <mergeCell ref="M5:N5"/>
  </mergeCells>
  <phoneticPr fontId="0" type="noConversion"/>
  <printOptions horizontalCentered="1" verticalCentered="1"/>
  <pageMargins left="0" right="0" top="0.98425196850393704" bottom="1.1023622047244095" header="0.62992125984251968" footer="0.9055118110236221"/>
  <pageSetup paperSize="9" scale="63" orientation="landscape" r:id="rId1"/>
  <headerFooter alignWithMargins="0">
    <oddHeader>&amp;L3. számú melléklet&amp;C&amp;"Arial,Félkövér"&amp;12
Nagykovácsi Nagyközség Önkormányzatának 2017. évi bevételei és kiadásai&amp;RA 2017. évi önkormányzati költségvetési rendelethez</oddHeader>
    <oddFooter>&amp;C&amp;P</oddFooter>
  </headerFooter>
  <rowBreaks count="1" manualBreakCount="1">
    <brk id="38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abSelected="1" zoomScaleNormal="100" workbookViewId="0">
      <selection activeCell="X10" sqref="X10"/>
    </sheetView>
  </sheetViews>
  <sheetFormatPr defaultRowHeight="12.75" x14ac:dyDescent="0.2"/>
  <cols>
    <col min="1" max="1" width="8.140625" style="11" customWidth="1"/>
    <col min="2" max="2" width="72.5703125" style="11" bestFit="1" customWidth="1"/>
    <col min="3" max="3" width="13.7109375" style="11" customWidth="1"/>
    <col min="4" max="4" width="13.7109375" style="11" hidden="1" customWidth="1"/>
    <col min="5" max="5" width="15.140625" style="11" hidden="1" customWidth="1"/>
    <col min="6" max="6" width="13.7109375" style="11" hidden="1" customWidth="1"/>
    <col min="7" max="9" width="16.7109375" style="11" hidden="1" customWidth="1"/>
    <col min="10" max="10" width="13.7109375" style="11" hidden="1" customWidth="1"/>
    <col min="11" max="11" width="16.7109375" style="11" hidden="1" customWidth="1"/>
    <col min="12" max="12" width="13.7109375" style="11" hidden="1" customWidth="1"/>
    <col min="13" max="13" width="14.7109375" style="11" hidden="1" customWidth="1"/>
    <col min="14" max="14" width="13.7109375" style="11" hidden="1" customWidth="1"/>
    <col min="15" max="15" width="18.28515625" style="11" hidden="1" customWidth="1"/>
    <col min="16" max="16" width="9.140625" style="11"/>
    <col min="17" max="17" width="0" style="862" hidden="1" customWidth="1"/>
    <col min="18" max="20" width="0" style="863" hidden="1" customWidth="1"/>
    <col min="21" max="21" width="0" style="864" hidden="1" customWidth="1"/>
    <col min="22" max="22" width="10.140625" style="863" hidden="1" customWidth="1"/>
    <col min="23" max="16384" width="9.140625" style="3"/>
  </cols>
  <sheetData>
    <row r="1" spans="1:22" ht="23.25" customHeight="1" x14ac:dyDescent="0.2"/>
    <row r="2" spans="1:22" ht="33.75" customHeight="1" thickBot="1" x14ac:dyDescent="0.3">
      <c r="B2" s="789"/>
      <c r="U2" s="864" t="s">
        <v>477</v>
      </c>
    </row>
    <row r="3" spans="1:22" s="176" customFormat="1" x14ac:dyDescent="0.2">
      <c r="A3" s="790" t="s">
        <v>138</v>
      </c>
      <c r="B3" s="791" t="s">
        <v>139</v>
      </c>
      <c r="C3" s="792" t="s">
        <v>503</v>
      </c>
      <c r="D3" s="792" t="s">
        <v>199</v>
      </c>
      <c r="E3" s="792" t="s">
        <v>200</v>
      </c>
      <c r="F3" s="792" t="s">
        <v>186</v>
      </c>
      <c r="G3" s="792" t="s">
        <v>201</v>
      </c>
      <c r="H3" s="792" t="s">
        <v>177</v>
      </c>
      <c r="I3" s="792" t="s">
        <v>202</v>
      </c>
      <c r="J3" s="792" t="s">
        <v>203</v>
      </c>
      <c r="K3" s="792" t="s">
        <v>204</v>
      </c>
      <c r="L3" s="792" t="s">
        <v>205</v>
      </c>
      <c r="M3" s="792" t="s">
        <v>206</v>
      </c>
      <c r="N3" s="792" t="s">
        <v>207</v>
      </c>
      <c r="O3" s="792" t="s">
        <v>208</v>
      </c>
      <c r="P3" s="793"/>
      <c r="Q3" s="865" t="s">
        <v>480</v>
      </c>
      <c r="R3" s="866" t="s">
        <v>481</v>
      </c>
      <c r="S3" s="866"/>
      <c r="T3" s="866"/>
      <c r="U3" s="867"/>
      <c r="V3" s="866"/>
    </row>
    <row r="4" spans="1:22" s="176" customFormat="1" ht="13.5" thickBot="1" x14ac:dyDescent="0.25">
      <c r="A4" s="794"/>
      <c r="B4" s="795"/>
      <c r="C4" s="796" t="s">
        <v>143</v>
      </c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3"/>
      <c r="Q4" s="865"/>
      <c r="R4" s="866"/>
      <c r="S4" s="866"/>
      <c r="T4" s="866"/>
      <c r="U4" s="867"/>
      <c r="V4" s="866"/>
    </row>
    <row r="5" spans="1:22" s="176" customFormat="1" x14ac:dyDescent="0.2">
      <c r="A5" s="797">
        <v>1</v>
      </c>
      <c r="B5" s="798" t="s">
        <v>144</v>
      </c>
      <c r="C5" s="874">
        <v>3262</v>
      </c>
      <c r="D5" s="799"/>
      <c r="E5" s="799">
        <f t="shared" ref="E5:E21" si="0">+C5+D5</f>
        <v>3262</v>
      </c>
      <c r="F5" s="799"/>
      <c r="G5" s="799">
        <f t="shared" ref="G5:G21" si="1">+E5+F5</f>
        <v>3262</v>
      </c>
      <c r="H5" s="799"/>
      <c r="I5" s="800">
        <f t="shared" ref="I5:I21" si="2">+H5/G5</f>
        <v>0</v>
      </c>
      <c r="J5" s="799"/>
      <c r="K5" s="799">
        <f t="shared" ref="K5:K21" si="3">+G5+J5</f>
        <v>3262</v>
      </c>
      <c r="L5" s="799"/>
      <c r="M5" s="799">
        <f t="shared" ref="M5:M21" si="4">+K5+L5</f>
        <v>3262</v>
      </c>
      <c r="N5" s="799"/>
      <c r="O5" s="799">
        <f t="shared" ref="O5:O21" si="5">+M5+N5</f>
        <v>3262</v>
      </c>
      <c r="P5" s="793"/>
      <c r="Q5" s="868">
        <f>+C5</f>
        <v>3262</v>
      </c>
      <c r="R5" s="866"/>
      <c r="S5" s="866"/>
      <c r="T5" s="866"/>
      <c r="U5" s="867"/>
      <c r="V5" s="866"/>
    </row>
    <row r="6" spans="1:22" s="176" customFormat="1" ht="12.95" customHeight="1" x14ac:dyDescent="0.2">
      <c r="A6" s="801">
        <v>2</v>
      </c>
      <c r="B6" s="785" t="s">
        <v>454</v>
      </c>
      <c r="C6" s="183">
        <v>2000</v>
      </c>
      <c r="D6" s="183"/>
      <c r="E6" s="799">
        <f t="shared" si="0"/>
        <v>2000</v>
      </c>
      <c r="F6" s="183"/>
      <c r="G6" s="183">
        <f t="shared" si="1"/>
        <v>2000</v>
      </c>
      <c r="H6" s="183"/>
      <c r="I6" s="243">
        <f t="shared" si="2"/>
        <v>0</v>
      </c>
      <c r="J6" s="183"/>
      <c r="K6" s="183">
        <f t="shared" si="3"/>
        <v>2000</v>
      </c>
      <c r="L6" s="183"/>
      <c r="M6" s="183">
        <f t="shared" si="4"/>
        <v>2000</v>
      </c>
      <c r="N6" s="183"/>
      <c r="O6" s="183">
        <f t="shared" si="5"/>
        <v>2000</v>
      </c>
      <c r="P6" s="793"/>
      <c r="Q6" s="868">
        <f>+C6</f>
        <v>2000</v>
      </c>
      <c r="R6" s="866"/>
      <c r="S6" s="866"/>
      <c r="T6" s="866"/>
      <c r="U6" s="867"/>
      <c r="V6" s="866"/>
    </row>
    <row r="7" spans="1:22" s="176" customFormat="1" ht="12.95" customHeight="1" x14ac:dyDescent="0.2">
      <c r="A7" s="797">
        <v>3</v>
      </c>
      <c r="B7" s="802" t="s">
        <v>451</v>
      </c>
      <c r="C7" s="183">
        <v>600</v>
      </c>
      <c r="D7" s="183"/>
      <c r="E7" s="799"/>
      <c r="F7" s="183"/>
      <c r="G7" s="183"/>
      <c r="H7" s="183"/>
      <c r="I7" s="243"/>
      <c r="J7" s="183"/>
      <c r="K7" s="183"/>
      <c r="L7" s="183"/>
      <c r="M7" s="183"/>
      <c r="N7" s="183"/>
      <c r="O7" s="183"/>
      <c r="P7" s="793"/>
      <c r="Q7" s="868">
        <f>+C7</f>
        <v>600</v>
      </c>
      <c r="R7" s="866"/>
      <c r="S7" s="866"/>
      <c r="T7" s="866"/>
      <c r="U7" s="867"/>
      <c r="V7" s="866"/>
    </row>
    <row r="8" spans="1:22" s="177" customFormat="1" x14ac:dyDescent="0.2">
      <c r="A8" s="801">
        <v>4</v>
      </c>
      <c r="B8" s="821" t="s">
        <v>470</v>
      </c>
      <c r="C8" s="183">
        <v>300</v>
      </c>
      <c r="D8" s="183"/>
      <c r="E8" s="799">
        <f t="shared" si="0"/>
        <v>300</v>
      </c>
      <c r="F8" s="183"/>
      <c r="G8" s="183">
        <f t="shared" si="1"/>
        <v>300</v>
      </c>
      <c r="H8" s="183"/>
      <c r="I8" s="243">
        <f t="shared" si="2"/>
        <v>0</v>
      </c>
      <c r="J8" s="183"/>
      <c r="K8" s="183">
        <f t="shared" si="3"/>
        <v>300</v>
      </c>
      <c r="L8" s="183"/>
      <c r="M8" s="183">
        <f t="shared" si="4"/>
        <v>300</v>
      </c>
      <c r="N8" s="183"/>
      <c r="O8" s="183">
        <f t="shared" si="5"/>
        <v>300</v>
      </c>
      <c r="Q8" s="868">
        <f>+C8</f>
        <v>300</v>
      </c>
      <c r="R8" s="869"/>
      <c r="S8" s="869"/>
      <c r="T8" s="869"/>
      <c r="U8" s="870"/>
      <c r="V8" s="869"/>
    </row>
    <row r="9" spans="1:22" s="177" customFormat="1" ht="12.75" customHeight="1" x14ac:dyDescent="0.2">
      <c r="A9" s="797">
        <v>5</v>
      </c>
      <c r="B9" s="804" t="s">
        <v>261</v>
      </c>
      <c r="C9" s="244">
        <v>5000</v>
      </c>
      <c r="D9" s="244"/>
      <c r="E9" s="799">
        <f t="shared" si="0"/>
        <v>5000</v>
      </c>
      <c r="F9" s="244"/>
      <c r="G9" s="244">
        <f t="shared" si="1"/>
        <v>5000</v>
      </c>
      <c r="H9" s="244"/>
      <c r="I9" s="245">
        <f t="shared" si="2"/>
        <v>0</v>
      </c>
      <c r="J9" s="244"/>
      <c r="K9" s="244">
        <f t="shared" si="3"/>
        <v>5000</v>
      </c>
      <c r="L9" s="244"/>
      <c r="M9" s="244">
        <f t="shared" si="4"/>
        <v>5000</v>
      </c>
      <c r="N9" s="244"/>
      <c r="O9" s="244">
        <f t="shared" si="5"/>
        <v>5000</v>
      </c>
      <c r="Q9" s="868">
        <f>+C9</f>
        <v>5000</v>
      </c>
      <c r="R9" s="869"/>
      <c r="S9" s="869"/>
      <c r="T9" s="869"/>
      <c r="U9" s="870"/>
      <c r="V9" s="869"/>
    </row>
    <row r="10" spans="1:22" s="177" customFormat="1" ht="12.75" customHeight="1" x14ac:dyDescent="0.2">
      <c r="A10" s="801">
        <v>6</v>
      </c>
      <c r="B10" s="802" t="s">
        <v>465</v>
      </c>
      <c r="C10" s="244">
        <v>22860</v>
      </c>
      <c r="D10" s="244"/>
      <c r="E10" s="799">
        <f t="shared" si="0"/>
        <v>22860</v>
      </c>
      <c r="F10" s="244"/>
      <c r="G10" s="244">
        <f t="shared" si="1"/>
        <v>22860</v>
      </c>
      <c r="H10" s="244"/>
      <c r="I10" s="245">
        <f t="shared" si="2"/>
        <v>0</v>
      </c>
      <c r="J10" s="244"/>
      <c r="K10" s="244">
        <f t="shared" si="3"/>
        <v>22860</v>
      </c>
      <c r="L10" s="244"/>
      <c r="M10" s="244">
        <f t="shared" si="4"/>
        <v>22860</v>
      </c>
      <c r="N10" s="244"/>
      <c r="O10" s="244">
        <f t="shared" si="5"/>
        <v>22860</v>
      </c>
      <c r="Q10" s="869"/>
      <c r="R10" s="870">
        <f>+C10</f>
        <v>22860</v>
      </c>
      <c r="S10" s="869"/>
      <c r="T10" s="869"/>
      <c r="U10" s="870"/>
      <c r="V10" s="869"/>
    </row>
    <row r="11" spans="1:22" s="177" customFormat="1" ht="12.75" customHeight="1" x14ac:dyDescent="0.2">
      <c r="A11" s="797">
        <v>7</v>
      </c>
      <c r="B11" s="804" t="s">
        <v>505</v>
      </c>
      <c r="C11" s="244">
        <v>348</v>
      </c>
      <c r="D11" s="244"/>
      <c r="E11" s="799">
        <f t="shared" si="0"/>
        <v>348</v>
      </c>
      <c r="F11" s="244"/>
      <c r="G11" s="244">
        <f t="shared" si="1"/>
        <v>348</v>
      </c>
      <c r="H11" s="244"/>
      <c r="I11" s="245">
        <f t="shared" si="2"/>
        <v>0</v>
      </c>
      <c r="J11" s="244"/>
      <c r="K11" s="244">
        <f t="shared" si="3"/>
        <v>348</v>
      </c>
      <c r="L11" s="244"/>
      <c r="M11" s="244">
        <f t="shared" si="4"/>
        <v>348</v>
      </c>
      <c r="N11" s="244"/>
      <c r="O11" s="244">
        <f t="shared" si="5"/>
        <v>348</v>
      </c>
      <c r="Q11" s="870">
        <f>+C11</f>
        <v>348</v>
      </c>
      <c r="R11" s="870"/>
      <c r="S11" s="869"/>
      <c r="T11" s="869"/>
      <c r="U11" s="870"/>
      <c r="V11" s="869"/>
    </row>
    <row r="12" spans="1:22" s="177" customFormat="1" ht="12.75" customHeight="1" x14ac:dyDescent="0.2">
      <c r="A12" s="801">
        <v>8</v>
      </c>
      <c r="B12" s="804" t="s">
        <v>264</v>
      </c>
      <c r="C12" s="244">
        <v>50</v>
      </c>
      <c r="D12" s="244"/>
      <c r="E12" s="799">
        <f t="shared" si="0"/>
        <v>50</v>
      </c>
      <c r="F12" s="244"/>
      <c r="G12" s="244">
        <f t="shared" si="1"/>
        <v>50</v>
      </c>
      <c r="H12" s="244"/>
      <c r="I12" s="245">
        <f t="shared" si="2"/>
        <v>0</v>
      </c>
      <c r="J12" s="244"/>
      <c r="K12" s="244">
        <f t="shared" si="3"/>
        <v>50</v>
      </c>
      <c r="L12" s="244"/>
      <c r="M12" s="244">
        <f t="shared" si="4"/>
        <v>50</v>
      </c>
      <c r="N12" s="244"/>
      <c r="O12" s="244">
        <f t="shared" si="5"/>
        <v>50</v>
      </c>
      <c r="Q12" s="868">
        <f>+C12</f>
        <v>50</v>
      </c>
      <c r="R12" s="869"/>
      <c r="S12" s="869"/>
      <c r="T12" s="869"/>
      <c r="U12" s="870"/>
      <c r="V12" s="869"/>
    </row>
    <row r="13" spans="1:22" s="177" customFormat="1" ht="12.75" customHeight="1" x14ac:dyDescent="0.2">
      <c r="A13" s="797">
        <v>9</v>
      </c>
      <c r="B13" s="802" t="s">
        <v>209</v>
      </c>
      <c r="C13" s="183">
        <v>1200</v>
      </c>
      <c r="D13" s="244"/>
      <c r="E13" s="799">
        <f t="shared" si="0"/>
        <v>1200</v>
      </c>
      <c r="F13" s="244"/>
      <c r="G13" s="244">
        <f t="shared" si="1"/>
        <v>1200</v>
      </c>
      <c r="H13" s="244"/>
      <c r="I13" s="245">
        <f t="shared" si="2"/>
        <v>0</v>
      </c>
      <c r="J13" s="244"/>
      <c r="K13" s="244">
        <f t="shared" si="3"/>
        <v>1200</v>
      </c>
      <c r="L13" s="244"/>
      <c r="M13" s="244">
        <f t="shared" si="4"/>
        <v>1200</v>
      </c>
      <c r="N13" s="244"/>
      <c r="O13" s="244">
        <f t="shared" si="5"/>
        <v>1200</v>
      </c>
      <c r="Q13" s="868">
        <f>+C13</f>
        <v>1200</v>
      </c>
      <c r="R13" s="869"/>
      <c r="S13" s="869"/>
      <c r="T13" s="869"/>
      <c r="U13" s="870"/>
      <c r="V13" s="869"/>
    </row>
    <row r="14" spans="1:22" s="177" customFormat="1" ht="12.75" customHeight="1" x14ac:dyDescent="0.2">
      <c r="A14" s="801">
        <v>10</v>
      </c>
      <c r="B14" s="802" t="s">
        <v>479</v>
      </c>
      <c r="C14" s="183">
        <v>50</v>
      </c>
      <c r="D14" s="810"/>
      <c r="E14" s="787">
        <f t="shared" si="0"/>
        <v>50</v>
      </c>
      <c r="F14" s="810"/>
      <c r="G14" s="810">
        <f t="shared" si="1"/>
        <v>50</v>
      </c>
      <c r="H14" s="810"/>
      <c r="I14" s="811">
        <f t="shared" si="2"/>
        <v>0</v>
      </c>
      <c r="J14" s="810"/>
      <c r="K14" s="810">
        <f t="shared" si="3"/>
        <v>50</v>
      </c>
      <c r="L14" s="810"/>
      <c r="M14" s="810">
        <f t="shared" si="4"/>
        <v>50</v>
      </c>
      <c r="N14" s="810"/>
      <c r="O14" s="810">
        <f t="shared" si="5"/>
        <v>50</v>
      </c>
      <c r="Q14" s="868">
        <f>+C14</f>
        <v>50</v>
      </c>
      <c r="R14" s="869"/>
      <c r="S14" s="869"/>
      <c r="T14" s="869"/>
      <c r="U14" s="870"/>
      <c r="V14" s="869"/>
    </row>
    <row r="15" spans="1:22" s="177" customFormat="1" ht="12.75" customHeight="1" x14ac:dyDescent="0.2">
      <c r="A15" s="797">
        <v>11</v>
      </c>
      <c r="B15" s="802" t="s">
        <v>472</v>
      </c>
      <c r="C15" s="183">
        <v>530</v>
      </c>
      <c r="D15" s="810"/>
      <c r="E15" s="787">
        <f t="shared" si="0"/>
        <v>530</v>
      </c>
      <c r="F15" s="810"/>
      <c r="G15" s="810">
        <f t="shared" si="1"/>
        <v>530</v>
      </c>
      <c r="H15" s="810"/>
      <c r="I15" s="811">
        <f t="shared" si="2"/>
        <v>0</v>
      </c>
      <c r="J15" s="810"/>
      <c r="K15" s="810">
        <f t="shared" si="3"/>
        <v>530</v>
      </c>
      <c r="L15" s="810"/>
      <c r="M15" s="810">
        <f t="shared" si="4"/>
        <v>530</v>
      </c>
      <c r="N15" s="810"/>
      <c r="O15" s="810">
        <f t="shared" si="5"/>
        <v>530</v>
      </c>
      <c r="Q15" s="869"/>
      <c r="R15" s="870">
        <f>+C15</f>
        <v>530</v>
      </c>
      <c r="S15" s="869"/>
      <c r="T15" s="869"/>
      <c r="U15" s="870"/>
      <c r="V15" s="869"/>
    </row>
    <row r="16" spans="1:22" s="177" customFormat="1" ht="12.75" customHeight="1" x14ac:dyDescent="0.2">
      <c r="A16" s="801">
        <v>12</v>
      </c>
      <c r="B16" s="802" t="s">
        <v>506</v>
      </c>
      <c r="C16" s="183">
        <v>450</v>
      </c>
      <c r="D16" s="810"/>
      <c r="E16" s="787">
        <f t="shared" si="0"/>
        <v>450</v>
      </c>
      <c r="F16" s="810"/>
      <c r="G16" s="810">
        <f t="shared" si="1"/>
        <v>450</v>
      </c>
      <c r="H16" s="810"/>
      <c r="I16" s="811">
        <f t="shared" si="2"/>
        <v>0</v>
      </c>
      <c r="J16" s="810"/>
      <c r="K16" s="810">
        <f t="shared" si="3"/>
        <v>450</v>
      </c>
      <c r="L16" s="810"/>
      <c r="M16" s="810">
        <f t="shared" si="4"/>
        <v>450</v>
      </c>
      <c r="N16" s="810"/>
      <c r="O16" s="810">
        <f t="shared" si="5"/>
        <v>450</v>
      </c>
      <c r="Q16" s="868">
        <f>+C16</f>
        <v>450</v>
      </c>
      <c r="R16" s="869"/>
      <c r="S16" s="869"/>
      <c r="T16" s="869"/>
      <c r="U16" s="870"/>
      <c r="V16" s="869"/>
    </row>
    <row r="17" spans="1:22" s="177" customFormat="1" ht="12.75" customHeight="1" x14ac:dyDescent="0.2">
      <c r="A17" s="797">
        <v>13</v>
      </c>
      <c r="B17" s="802" t="s">
        <v>473</v>
      </c>
      <c r="C17" s="183">
        <v>800</v>
      </c>
      <c r="D17" s="810"/>
      <c r="E17" s="787">
        <f t="shared" si="0"/>
        <v>800</v>
      </c>
      <c r="F17" s="810"/>
      <c r="G17" s="810">
        <f t="shared" si="1"/>
        <v>800</v>
      </c>
      <c r="H17" s="810"/>
      <c r="I17" s="811">
        <f t="shared" si="2"/>
        <v>0</v>
      </c>
      <c r="J17" s="810"/>
      <c r="K17" s="810">
        <f t="shared" si="3"/>
        <v>800</v>
      </c>
      <c r="L17" s="810"/>
      <c r="M17" s="810">
        <f t="shared" si="4"/>
        <v>800</v>
      </c>
      <c r="N17" s="810"/>
      <c r="O17" s="810">
        <f t="shared" si="5"/>
        <v>800</v>
      </c>
      <c r="Q17" s="868">
        <f>+C17</f>
        <v>800</v>
      </c>
      <c r="R17" s="869"/>
      <c r="S17" s="869"/>
      <c r="T17" s="869"/>
      <c r="U17" s="870"/>
      <c r="V17" s="869"/>
    </row>
    <row r="18" spans="1:22" s="177" customFormat="1" ht="12.75" customHeight="1" x14ac:dyDescent="0.2">
      <c r="A18" s="801">
        <v>14</v>
      </c>
      <c r="B18" s="802" t="s">
        <v>507</v>
      </c>
      <c r="C18" s="183">
        <v>1300</v>
      </c>
      <c r="D18" s="810"/>
      <c r="E18" s="787"/>
      <c r="F18" s="810"/>
      <c r="G18" s="810"/>
      <c r="H18" s="810"/>
      <c r="I18" s="811"/>
      <c r="J18" s="810"/>
      <c r="K18" s="810"/>
      <c r="L18" s="810"/>
      <c r="M18" s="810"/>
      <c r="N18" s="810"/>
      <c r="O18" s="810"/>
      <c r="Q18" s="868">
        <f>+C18</f>
        <v>1300</v>
      </c>
      <c r="R18" s="869"/>
      <c r="S18" s="869"/>
      <c r="T18" s="869"/>
      <c r="U18" s="870"/>
      <c r="V18" s="869"/>
    </row>
    <row r="19" spans="1:22" s="177" customFormat="1" ht="12.75" customHeight="1" x14ac:dyDescent="0.2">
      <c r="A19" s="797">
        <v>15</v>
      </c>
      <c r="B19" s="802" t="s">
        <v>508</v>
      </c>
      <c r="C19" s="183">
        <v>1500</v>
      </c>
      <c r="D19" s="810"/>
      <c r="E19" s="787"/>
      <c r="F19" s="810"/>
      <c r="G19" s="810"/>
      <c r="H19" s="810"/>
      <c r="I19" s="811"/>
      <c r="J19" s="810"/>
      <c r="K19" s="810"/>
      <c r="L19" s="810"/>
      <c r="M19" s="810"/>
      <c r="N19" s="810"/>
      <c r="O19" s="810"/>
      <c r="Q19" s="868">
        <f>+C19</f>
        <v>1500</v>
      </c>
      <c r="R19" s="869"/>
      <c r="S19" s="869"/>
      <c r="T19" s="869"/>
      <c r="U19" s="870"/>
      <c r="V19" s="869"/>
    </row>
    <row r="20" spans="1:22" s="177" customFormat="1" ht="12.75" customHeight="1" x14ac:dyDescent="0.2">
      <c r="A20" s="801">
        <v>16</v>
      </c>
      <c r="B20" s="802" t="s">
        <v>509</v>
      </c>
      <c r="C20" s="183">
        <v>1500</v>
      </c>
      <c r="D20" s="810"/>
      <c r="E20" s="787"/>
      <c r="F20" s="810"/>
      <c r="G20" s="810"/>
      <c r="H20" s="810"/>
      <c r="I20" s="811"/>
      <c r="J20" s="810"/>
      <c r="K20" s="810"/>
      <c r="L20" s="810"/>
      <c r="M20" s="810"/>
      <c r="N20" s="810"/>
      <c r="O20" s="810"/>
      <c r="Q20" s="868">
        <f>+C20</f>
        <v>1500</v>
      </c>
      <c r="R20" s="869"/>
      <c r="S20" s="869"/>
      <c r="T20" s="869"/>
      <c r="U20" s="870"/>
      <c r="V20" s="869"/>
    </row>
    <row r="21" spans="1:22" s="177" customFormat="1" ht="12.75" customHeight="1" thickBot="1" x14ac:dyDescent="0.25">
      <c r="A21" s="797">
        <v>17</v>
      </c>
      <c r="B21" s="817" t="s">
        <v>466</v>
      </c>
      <c r="C21" s="787">
        <v>74160</v>
      </c>
      <c r="D21" s="810"/>
      <c r="E21" s="787">
        <f t="shared" si="0"/>
        <v>74160</v>
      </c>
      <c r="F21" s="810"/>
      <c r="G21" s="810">
        <f t="shared" si="1"/>
        <v>74160</v>
      </c>
      <c r="H21" s="810"/>
      <c r="I21" s="811">
        <f t="shared" si="2"/>
        <v>0</v>
      </c>
      <c r="J21" s="810"/>
      <c r="K21" s="810">
        <f t="shared" si="3"/>
        <v>74160</v>
      </c>
      <c r="L21" s="810"/>
      <c r="M21" s="810">
        <f t="shared" si="4"/>
        <v>74160</v>
      </c>
      <c r="N21" s="810"/>
      <c r="O21" s="810">
        <f t="shared" si="5"/>
        <v>74160</v>
      </c>
      <c r="Q21" s="869"/>
      <c r="R21" s="870">
        <f>+C21</f>
        <v>74160</v>
      </c>
      <c r="S21" s="869"/>
      <c r="T21" s="869"/>
      <c r="U21" s="870"/>
      <c r="V21" s="869"/>
    </row>
    <row r="22" spans="1:22" ht="24.75" customHeight="1" thickBot="1" x14ac:dyDescent="0.25">
      <c r="A22" s="805"/>
      <c r="B22" s="973" t="s">
        <v>560</v>
      </c>
      <c r="C22" s="807">
        <f>SUM(C5:C21)</f>
        <v>115910</v>
      </c>
      <c r="D22" s="807">
        <f>SUM(D5:D13)</f>
        <v>0</v>
      </c>
      <c r="E22" s="807">
        <f>SUM(E5:E21)</f>
        <v>111010</v>
      </c>
      <c r="F22" s="807">
        <f>SUM(F5:F13)</f>
        <v>0</v>
      </c>
      <c r="G22" s="807">
        <f>SUM(G5:G21)</f>
        <v>111010</v>
      </c>
      <c r="H22" s="807">
        <f>SUM(H5:H13)</f>
        <v>0</v>
      </c>
      <c r="I22" s="807">
        <f>SUM(I5:I21)</f>
        <v>0</v>
      </c>
      <c r="J22" s="807">
        <f>SUM(J5:J13)</f>
        <v>0</v>
      </c>
      <c r="K22" s="807">
        <f>SUM(K5:K21)</f>
        <v>111010</v>
      </c>
      <c r="L22" s="807">
        <f>SUM(L5:L13)</f>
        <v>0</v>
      </c>
      <c r="M22" s="807">
        <f>SUM(M5:M21)</f>
        <v>111010</v>
      </c>
      <c r="N22" s="807">
        <f>SUM(N5:N13)</f>
        <v>0</v>
      </c>
      <c r="O22" s="807">
        <f>SUM(O5:O21)</f>
        <v>111010</v>
      </c>
      <c r="Q22" s="873">
        <f>SUM(Q5:Q21)</f>
        <v>18360</v>
      </c>
      <c r="R22" s="873">
        <f>SUM(R5:R21)</f>
        <v>97550</v>
      </c>
      <c r="S22" s="864">
        <f>+Q22+R22</f>
        <v>115910</v>
      </c>
    </row>
    <row r="23" spans="1:22" s="170" customFormat="1" x14ac:dyDescent="0.2">
      <c r="A23" s="9"/>
      <c r="B23" s="178"/>
      <c r="I23" s="246"/>
      <c r="M23" s="247">
        <f>+K23+L23</f>
        <v>0</v>
      </c>
      <c r="O23" s="170">
        <f t="shared" ref="O23:O32" si="6">+M23+N23</f>
        <v>0</v>
      </c>
      <c r="Q23" s="871"/>
      <c r="R23" s="871"/>
      <c r="S23" s="871"/>
      <c r="T23" s="871"/>
      <c r="U23" s="872"/>
      <c r="V23" s="871"/>
    </row>
    <row r="24" spans="1:22" s="11" customFormat="1" ht="13.5" thickBot="1" x14ac:dyDescent="0.25">
      <c r="A24" s="9"/>
      <c r="B24" s="178"/>
      <c r="C24" s="170"/>
      <c r="D24" s="170"/>
      <c r="E24" s="170"/>
      <c r="F24" s="170"/>
      <c r="G24" s="170"/>
      <c r="H24" s="170"/>
      <c r="I24" s="246"/>
      <c r="J24" s="170"/>
      <c r="K24" s="170"/>
      <c r="L24" s="170"/>
      <c r="M24" s="247">
        <f>+K24+L24</f>
        <v>0</v>
      </c>
      <c r="N24" s="170"/>
      <c r="O24" s="170">
        <f t="shared" si="6"/>
        <v>0</v>
      </c>
      <c r="Q24" s="862"/>
      <c r="R24" s="862"/>
      <c r="S24" s="862"/>
      <c r="T24" s="862"/>
      <c r="U24" s="873"/>
      <c r="V24" s="862"/>
    </row>
    <row r="25" spans="1:22" s="177" customFormat="1" x14ac:dyDescent="0.2">
      <c r="A25" s="808">
        <v>1</v>
      </c>
      <c r="B25" s="816" t="s">
        <v>262</v>
      </c>
      <c r="C25" s="189">
        <v>500</v>
      </c>
      <c r="D25" s="189"/>
      <c r="E25" s="189">
        <v>315</v>
      </c>
      <c r="F25" s="189"/>
      <c r="G25" s="189">
        <f>+E25+F25</f>
        <v>315</v>
      </c>
      <c r="H25" s="189"/>
      <c r="I25" s="248">
        <f>+H25/G25</f>
        <v>0</v>
      </c>
      <c r="J25" s="189"/>
      <c r="K25" s="189">
        <f>+G25+J25</f>
        <v>315</v>
      </c>
      <c r="L25" s="189"/>
      <c r="M25" s="189">
        <f>+K25+L25</f>
        <v>315</v>
      </c>
      <c r="N25" s="189"/>
      <c r="O25" s="189">
        <f t="shared" si="6"/>
        <v>315</v>
      </c>
      <c r="Q25" s="868">
        <f>+C25</f>
        <v>500</v>
      </c>
      <c r="R25" s="869"/>
      <c r="S25" s="869"/>
      <c r="T25" s="869"/>
      <c r="U25" s="870"/>
      <c r="V25" s="869"/>
    </row>
    <row r="26" spans="1:22" s="177" customFormat="1" x14ac:dyDescent="0.2">
      <c r="A26" s="797">
        <v>2</v>
      </c>
      <c r="B26" s="802" t="s">
        <v>504</v>
      </c>
      <c r="C26" s="183">
        <v>1867</v>
      </c>
      <c r="D26" s="810"/>
      <c r="E26" s="810"/>
      <c r="F26" s="810"/>
      <c r="G26" s="810"/>
      <c r="H26" s="810"/>
      <c r="I26" s="811"/>
      <c r="J26" s="810"/>
      <c r="K26" s="810"/>
      <c r="L26" s="810"/>
      <c r="M26" s="810"/>
      <c r="N26" s="810"/>
      <c r="O26" s="810"/>
      <c r="Q26" s="868">
        <f>+C26</f>
        <v>1867</v>
      </c>
      <c r="R26" s="869"/>
      <c r="S26" s="869"/>
      <c r="T26" s="869"/>
      <c r="U26" s="870"/>
      <c r="V26" s="869"/>
    </row>
    <row r="27" spans="1:22" s="177" customFormat="1" ht="13.5" thickBot="1" x14ac:dyDescent="0.25">
      <c r="A27" s="803">
        <v>3</v>
      </c>
      <c r="B27" s="802" t="s">
        <v>476</v>
      </c>
      <c r="C27" s="183">
        <v>9006</v>
      </c>
      <c r="D27" s="810"/>
      <c r="E27" s="810"/>
      <c r="F27" s="810"/>
      <c r="G27" s="810"/>
      <c r="H27" s="810"/>
      <c r="I27" s="811"/>
      <c r="J27" s="810"/>
      <c r="K27" s="810"/>
      <c r="L27" s="810"/>
      <c r="M27" s="810"/>
      <c r="N27" s="810"/>
      <c r="O27" s="810"/>
      <c r="Q27" s="868">
        <f>+C27</f>
        <v>9006</v>
      </c>
      <c r="R27" s="869"/>
      <c r="S27" s="869"/>
      <c r="T27" s="869"/>
      <c r="U27" s="870"/>
      <c r="V27" s="869"/>
    </row>
    <row r="28" spans="1:22" s="177" customFormat="1" hidden="1" x14ac:dyDescent="0.2">
      <c r="A28" s="803">
        <v>4</v>
      </c>
      <c r="B28" s="802" t="s">
        <v>464</v>
      </c>
      <c r="C28" s="183"/>
      <c r="D28" s="183"/>
      <c r="E28" s="183">
        <v>3490</v>
      </c>
      <c r="F28" s="183"/>
      <c r="G28" s="183">
        <f>+E28+F28</f>
        <v>3490</v>
      </c>
      <c r="H28" s="183"/>
      <c r="I28" s="243">
        <f>+H28/G28</f>
        <v>0</v>
      </c>
      <c r="J28" s="183"/>
      <c r="K28" s="183">
        <f>+G28+J28</f>
        <v>3490</v>
      </c>
      <c r="L28" s="183"/>
      <c r="M28" s="183">
        <f>+K28+L28</f>
        <v>3490</v>
      </c>
      <c r="N28" s="183"/>
      <c r="O28" s="183">
        <f t="shared" ref="O28" si="7">+M28+N28</f>
        <v>3490</v>
      </c>
      <c r="Q28" s="869"/>
      <c r="R28" s="870">
        <f>+C28</f>
        <v>0</v>
      </c>
      <c r="S28" s="869"/>
      <c r="T28" s="869"/>
      <c r="U28" s="870"/>
      <c r="V28" s="869"/>
    </row>
    <row r="29" spans="1:22" s="177" customFormat="1" ht="13.5" hidden="1" thickBot="1" x14ac:dyDescent="0.25">
      <c r="A29" s="797">
        <v>5</v>
      </c>
      <c r="B29" s="802" t="s">
        <v>478</v>
      </c>
      <c r="C29" s="786"/>
      <c r="D29" s="810"/>
      <c r="E29" s="810"/>
      <c r="F29" s="810"/>
      <c r="G29" s="810"/>
      <c r="H29" s="810"/>
      <c r="I29" s="811"/>
      <c r="J29" s="810"/>
      <c r="K29" s="810"/>
      <c r="L29" s="810"/>
      <c r="M29" s="810"/>
      <c r="N29" s="810"/>
      <c r="O29" s="810"/>
      <c r="Q29" s="868">
        <f>+C29</f>
        <v>0</v>
      </c>
      <c r="R29" s="869"/>
      <c r="S29" s="869"/>
      <c r="T29" s="869"/>
      <c r="U29" s="870"/>
      <c r="V29" s="870"/>
    </row>
    <row r="30" spans="1:22" ht="24.75" customHeight="1" thickBot="1" x14ac:dyDescent="0.25">
      <c r="A30" s="805"/>
      <c r="B30" s="973" t="s">
        <v>561</v>
      </c>
      <c r="C30" s="807">
        <f>SUM(C25:C29)</f>
        <v>11373</v>
      </c>
      <c r="D30" s="807">
        <f t="shared" ref="D30:N30" si="8">SUM(D25:D25)</f>
        <v>0</v>
      </c>
      <c r="E30" s="807">
        <f t="shared" si="8"/>
        <v>315</v>
      </c>
      <c r="F30" s="807">
        <f t="shared" si="8"/>
        <v>0</v>
      </c>
      <c r="G30" s="807">
        <f t="shared" si="8"/>
        <v>315</v>
      </c>
      <c r="H30" s="807">
        <f t="shared" si="8"/>
        <v>0</v>
      </c>
      <c r="I30" s="807">
        <f t="shared" si="8"/>
        <v>0</v>
      </c>
      <c r="J30" s="807">
        <f t="shared" si="8"/>
        <v>0</v>
      </c>
      <c r="K30" s="807">
        <f t="shared" si="8"/>
        <v>315</v>
      </c>
      <c r="L30" s="807">
        <f t="shared" si="8"/>
        <v>0</v>
      </c>
      <c r="M30" s="807">
        <f t="shared" si="8"/>
        <v>315</v>
      </c>
      <c r="N30" s="807">
        <f t="shared" si="8"/>
        <v>0</v>
      </c>
      <c r="O30" s="807">
        <f t="shared" si="6"/>
        <v>315</v>
      </c>
    </row>
    <row r="31" spans="1:22" ht="13.5" thickBot="1" x14ac:dyDescent="0.25">
      <c r="A31" s="9"/>
      <c r="B31" s="170"/>
      <c r="C31" s="170"/>
      <c r="D31" s="170"/>
      <c r="E31" s="170"/>
      <c r="F31" s="170"/>
      <c r="G31" s="170"/>
      <c r="H31" s="170"/>
      <c r="I31" s="246"/>
      <c r="J31" s="170"/>
      <c r="K31" s="170"/>
      <c r="L31" s="170"/>
      <c r="M31" s="247">
        <f>+K31+L31</f>
        <v>0</v>
      </c>
      <c r="N31" s="170"/>
      <c r="O31" s="170">
        <f t="shared" si="6"/>
        <v>0</v>
      </c>
      <c r="Q31" s="873">
        <f>SUM(Q25:Q30)</f>
        <v>11373</v>
      </c>
    </row>
    <row r="32" spans="1:22" ht="24.75" customHeight="1" thickBot="1" x14ac:dyDescent="0.25">
      <c r="A32" s="805"/>
      <c r="B32" s="806" t="s">
        <v>210</v>
      </c>
      <c r="C32" s="807">
        <f>+C22+C30</f>
        <v>127283</v>
      </c>
      <c r="D32" s="807">
        <f>+D22+D30</f>
        <v>0</v>
      </c>
      <c r="E32" s="807">
        <f>+E22+E30</f>
        <v>111325</v>
      </c>
      <c r="F32" s="807">
        <f>+F22+F30</f>
        <v>0</v>
      </c>
      <c r="G32" s="807">
        <f>+E32+F32</f>
        <v>111325</v>
      </c>
      <c r="H32" s="807">
        <f>+H22+H30</f>
        <v>0</v>
      </c>
      <c r="I32" s="809">
        <f>+H32/G32</f>
        <v>0</v>
      </c>
      <c r="J32" s="807">
        <f>+J22+J30</f>
        <v>0</v>
      </c>
      <c r="K32" s="807">
        <f>+G32+J32</f>
        <v>111325</v>
      </c>
      <c r="L32" s="807">
        <f>+L22+L30</f>
        <v>0</v>
      </c>
      <c r="M32" s="807">
        <f>+K32+L32</f>
        <v>111325</v>
      </c>
      <c r="N32" s="807">
        <f>+N22+N30</f>
        <v>0</v>
      </c>
      <c r="O32" s="807">
        <f t="shared" si="6"/>
        <v>111325</v>
      </c>
      <c r="Q32" s="873">
        <f>+Q22+Q31</f>
        <v>29733</v>
      </c>
      <c r="R32" s="873">
        <f>SUM(R22:R31)</f>
        <v>97550</v>
      </c>
      <c r="S32" s="863">
        <f>+Q32+R32</f>
        <v>127283</v>
      </c>
    </row>
  </sheetData>
  <phoneticPr fontId="11" type="noConversion"/>
  <printOptions horizontalCentered="1"/>
  <pageMargins left="0.47244094488188981" right="0.6692913385826772" top="1.2598425196850394" bottom="0.98425196850393704" header="0.51181102362204722" footer="0.51181102362204722"/>
  <pageSetup paperSize="9" scale="98" orientation="landscape" horizontalDpi="4294967294" r:id="rId1"/>
  <headerFooter alignWithMargins="0">
    <oddHeader>&amp;L7.sz.melléklet&amp;C&amp;"Arial,Félkövér"&amp;12Nagykovácsi Nagyközség Önkormányzatának 
2017.évi működési célú pénzeszköz átadási előirányzata&amp;Radatok  eFt-ban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view="pageBreakPreview" zoomScale="60" zoomScaleNormal="100" workbookViewId="0">
      <selection activeCell="L30" sqref="L29:L30"/>
    </sheetView>
  </sheetViews>
  <sheetFormatPr defaultRowHeight="12.75" x14ac:dyDescent="0.2"/>
  <cols>
    <col min="1" max="1" width="8.140625" style="3" customWidth="1"/>
    <col min="2" max="2" width="68.42578125" style="3" bestFit="1" customWidth="1"/>
    <col min="3" max="3" width="13.7109375" style="3" customWidth="1"/>
  </cols>
  <sheetData>
    <row r="2" spans="1:3" ht="15.75" thickBot="1" x14ac:dyDescent="0.3">
      <c r="B2" s="2"/>
    </row>
    <row r="3" spans="1:3" x14ac:dyDescent="0.2">
      <c r="A3" s="180" t="s">
        <v>138</v>
      </c>
      <c r="B3" s="181" t="s">
        <v>139</v>
      </c>
      <c r="C3" s="182" t="s">
        <v>503</v>
      </c>
    </row>
    <row r="4" spans="1:3" ht="13.5" thickBot="1" x14ac:dyDescent="0.25">
      <c r="A4" s="187"/>
      <c r="B4" s="184"/>
      <c r="C4" s="188" t="s">
        <v>143</v>
      </c>
    </row>
    <row r="5" spans="1:3" ht="13.5" thickBot="1" x14ac:dyDescent="0.25">
      <c r="A5" s="746">
        <v>1</v>
      </c>
      <c r="B5" s="785" t="s">
        <v>455</v>
      </c>
      <c r="C5" s="786">
        <v>10000</v>
      </c>
    </row>
    <row r="6" spans="1:3" ht="13.5" thickBot="1" x14ac:dyDescent="0.25">
      <c r="A6" s="185"/>
      <c r="B6" s="748" t="s">
        <v>456</v>
      </c>
      <c r="C6" s="186">
        <f>SUM(C5:C5)</f>
        <v>10000</v>
      </c>
    </row>
    <row r="7" spans="1:3" x14ac:dyDescent="0.2">
      <c r="A7" s="747"/>
      <c r="B7" s="178"/>
      <c r="C7" s="170"/>
    </row>
    <row r="8" spans="1:3" x14ac:dyDescent="0.2">
      <c r="A8" s="170"/>
      <c r="B8" s="178"/>
      <c r="C8" s="170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4" verticalDpi="0" r:id="rId1"/>
  <headerFooter>
    <oddHeader>&amp;L7.2. sz. táblázat &amp;C&amp;"Arial,Félkövér"&amp;12Nagykovácsi Nagyközség Önkormányzatának 
2017. évi felhalmozási célú pénzeszköz átadási előirányzata&amp;Radatok e Ft-ban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view="pageBreakPreview" zoomScale="60" zoomScaleNormal="100" workbookViewId="0">
      <selection activeCell="J39" sqref="J39"/>
    </sheetView>
  </sheetViews>
  <sheetFormatPr defaultRowHeight="15" x14ac:dyDescent="0.25"/>
  <cols>
    <col min="1" max="1" width="73.7109375" style="405" customWidth="1"/>
    <col min="2" max="2" width="24.5703125" style="406" bestFit="1" customWidth="1"/>
  </cols>
  <sheetData>
    <row r="1" spans="1:2" ht="15.75" thickBot="1" x14ac:dyDescent="0.3">
      <c r="A1" s="395" t="s">
        <v>236</v>
      </c>
      <c r="B1" s="396"/>
    </row>
    <row r="2" spans="1:2" x14ac:dyDescent="0.25">
      <c r="A2" s="397"/>
      <c r="B2" s="398" t="s">
        <v>469</v>
      </c>
    </row>
    <row r="3" spans="1:2" ht="15" customHeight="1" x14ac:dyDescent="0.25">
      <c r="A3" s="399" t="s">
        <v>257</v>
      </c>
      <c r="B3" s="400">
        <v>1000</v>
      </c>
    </row>
    <row r="4" spans="1:2" x14ac:dyDescent="0.25">
      <c r="A4" s="399" t="s">
        <v>256</v>
      </c>
      <c r="B4" s="400">
        <v>1000</v>
      </c>
    </row>
    <row r="5" spans="1:2" ht="15.75" thickBot="1" x14ac:dyDescent="0.3">
      <c r="A5" s="399" t="s">
        <v>258</v>
      </c>
      <c r="B5" s="400">
        <v>7452</v>
      </c>
    </row>
    <row r="6" spans="1:2" ht="15.75" thickBot="1" x14ac:dyDescent="0.3">
      <c r="A6" s="401" t="s">
        <v>237</v>
      </c>
      <c r="B6" s="402">
        <f>SUM(B3:B5)</f>
        <v>9452</v>
      </c>
    </row>
    <row r="7" spans="1:2" ht="15.75" thickBot="1" x14ac:dyDescent="0.3">
      <c r="A7" s="703" t="s">
        <v>450</v>
      </c>
      <c r="B7" s="402">
        <v>28903</v>
      </c>
    </row>
    <row r="8" spans="1:2" ht="15" customHeight="1" thickBot="1" x14ac:dyDescent="0.3">
      <c r="A8" s="403" t="s">
        <v>238</v>
      </c>
      <c r="B8" s="404">
        <f>+B6+B7</f>
        <v>38355</v>
      </c>
    </row>
    <row r="11" spans="1:2" ht="12.75" x14ac:dyDescent="0.2">
      <c r="A11" s="833" t="s">
        <v>471</v>
      </c>
      <c r="B11" s="819"/>
    </row>
    <row r="12" spans="1:2" x14ac:dyDescent="0.25">
      <c r="B12" s="820"/>
    </row>
    <row r="13" spans="1:2" ht="12.75" x14ac:dyDescent="0.2">
      <c r="A13" s="821" t="s">
        <v>498</v>
      </c>
      <c r="B13" s="820">
        <v>2000</v>
      </c>
    </row>
    <row r="14" spans="1:2" ht="13.15" customHeight="1" x14ac:dyDescent="0.2">
      <c r="A14" s="821" t="s">
        <v>499</v>
      </c>
      <c r="B14" s="820">
        <v>5000</v>
      </c>
    </row>
    <row r="15" spans="1:2" ht="13.15" customHeight="1" x14ac:dyDescent="0.2">
      <c r="A15" s="821" t="s">
        <v>500</v>
      </c>
      <c r="B15" s="820">
        <v>5300</v>
      </c>
    </row>
    <row r="16" spans="1:2" ht="12.75" x14ac:dyDescent="0.2">
      <c r="A16" s="821" t="s">
        <v>501</v>
      </c>
      <c r="B16" s="820">
        <v>7879</v>
      </c>
    </row>
    <row r="17" spans="1:4" ht="12.75" x14ac:dyDescent="0.2">
      <c r="A17" s="821" t="s">
        <v>502</v>
      </c>
      <c r="B17" s="820">
        <v>8724</v>
      </c>
      <c r="D17" s="171"/>
    </row>
    <row r="18" spans="1:4" ht="12.75" x14ac:dyDescent="0.2">
      <c r="A18" s="821"/>
      <c r="B18" s="820"/>
      <c r="D18" s="171"/>
    </row>
    <row r="19" spans="1:4" x14ac:dyDescent="0.25">
      <c r="A19" s="831" t="s">
        <v>474</v>
      </c>
      <c r="B19" s="832">
        <f>SUM(B12:B18)</f>
        <v>28903</v>
      </c>
    </row>
  </sheetData>
  <phoneticPr fontId="11" type="noConversion"/>
  <printOptions horizontalCentered="1"/>
  <pageMargins left="0.74803149606299213" right="0.74803149606299213" top="1.5748031496062993" bottom="0.98425196850393704" header="0.51181102362204722" footer="0.51181102362204722"/>
  <pageSetup paperSize="9" scale="91" orientation="landscape" r:id="rId1"/>
  <headerFooter alignWithMargins="0">
    <oddHeader>&amp;L8. sz. melléklet&amp;C&amp;"Arial,Félkövér"&amp;12 
Nagykovácsi Nagyközség Önkormányzatának tartalékai 2017. év</oddHeader>
  </headerFooter>
  <colBreaks count="1" manualBreakCount="1">
    <brk id="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O24"/>
  <sheetViews>
    <sheetView view="pageBreakPreview" zoomScale="60" zoomScaleNormal="90" workbookViewId="0">
      <selection activeCell="L18" sqref="L17:L18"/>
    </sheetView>
  </sheetViews>
  <sheetFormatPr defaultRowHeight="12.75" x14ac:dyDescent="0.2"/>
  <cols>
    <col min="1" max="1" width="57.7109375" style="171" bestFit="1" customWidth="1"/>
    <col min="2" max="2" width="13.28515625" style="173" customWidth="1"/>
    <col min="3" max="3" width="11.7109375" style="171" bestFit="1" customWidth="1"/>
    <col min="4" max="4" width="11.5703125" style="171" bestFit="1" customWidth="1"/>
    <col min="5" max="5" width="12.140625" style="171" bestFit="1" customWidth="1"/>
    <col min="6" max="8" width="11.5703125" style="171" bestFit="1" customWidth="1"/>
    <col min="9" max="9" width="10.42578125" style="171" customWidth="1"/>
    <col min="10" max="10" width="11.7109375" style="171" bestFit="1" customWidth="1"/>
    <col min="11" max="11" width="12.140625" style="171" bestFit="1" customWidth="1"/>
    <col min="12" max="13" width="11.5703125" style="171" bestFit="1" customWidth="1"/>
    <col min="14" max="14" width="11.7109375" style="171" bestFit="1" customWidth="1"/>
    <col min="15" max="15" width="10.85546875" style="171" customWidth="1"/>
    <col min="16" max="16384" width="9.140625" style="171"/>
  </cols>
  <sheetData>
    <row r="1" spans="1:15" ht="30.75" customHeight="1" thickBot="1" x14ac:dyDescent="0.25">
      <c r="A1" s="64" t="s">
        <v>101</v>
      </c>
      <c r="B1" s="729" t="s">
        <v>497</v>
      </c>
      <c r="C1" s="730" t="s">
        <v>105</v>
      </c>
      <c r="D1" s="730" t="s">
        <v>106</v>
      </c>
      <c r="E1" s="730" t="s">
        <v>107</v>
      </c>
      <c r="F1" s="730" t="s">
        <v>108</v>
      </c>
      <c r="G1" s="730" t="s">
        <v>109</v>
      </c>
      <c r="H1" s="730" t="s">
        <v>110</v>
      </c>
      <c r="I1" s="730" t="s">
        <v>111</v>
      </c>
      <c r="J1" s="730" t="s">
        <v>112</v>
      </c>
      <c r="K1" s="730" t="s">
        <v>113</v>
      </c>
      <c r="L1" s="730" t="s">
        <v>114</v>
      </c>
      <c r="M1" s="730" t="s">
        <v>115</v>
      </c>
      <c r="N1" s="730" t="s">
        <v>116</v>
      </c>
      <c r="O1" s="464" t="s">
        <v>496</v>
      </c>
    </row>
    <row r="2" spans="1:15" x14ac:dyDescent="0.2">
      <c r="A2" s="731" t="str">
        <f>+'3. sz. m._kiadások-bevételek'!A9</f>
        <v>1. Működési célú támogatások államháztartáson belülről</v>
      </c>
      <c r="B2" s="408">
        <v>474662</v>
      </c>
      <c r="C2" s="742">
        <f>+$B2/12</f>
        <v>39555.166666666664</v>
      </c>
      <c r="D2" s="742">
        <f t="shared" ref="D2:N2" si="0">+$B2/12</f>
        <v>39555.166666666664</v>
      </c>
      <c r="E2" s="742">
        <f t="shared" si="0"/>
        <v>39555.166666666664</v>
      </c>
      <c r="F2" s="742">
        <f t="shared" si="0"/>
        <v>39555.166666666664</v>
      </c>
      <c r="G2" s="742">
        <f t="shared" si="0"/>
        <v>39555.166666666664</v>
      </c>
      <c r="H2" s="742">
        <f t="shared" si="0"/>
        <v>39555.166666666664</v>
      </c>
      <c r="I2" s="742">
        <f t="shared" si="0"/>
        <v>39555.166666666664</v>
      </c>
      <c r="J2" s="742">
        <f t="shared" si="0"/>
        <v>39555.166666666664</v>
      </c>
      <c r="K2" s="742">
        <f t="shared" si="0"/>
        <v>39555.166666666664</v>
      </c>
      <c r="L2" s="742">
        <f t="shared" si="0"/>
        <v>39555.166666666664</v>
      </c>
      <c r="M2" s="742">
        <f t="shared" si="0"/>
        <v>39555.166666666664</v>
      </c>
      <c r="N2" s="742">
        <f t="shared" si="0"/>
        <v>39555.166666666664</v>
      </c>
      <c r="O2" s="164">
        <f t="shared" ref="O2:O8" si="1">SUM(C2:N2)</f>
        <v>474662.00000000006</v>
      </c>
    </row>
    <row r="3" spans="1:15" x14ac:dyDescent="0.2">
      <c r="A3" s="732" t="str">
        <f>+'3. sz. m._kiadások-bevételek'!A12</f>
        <v xml:space="preserve">2. Közhatalmi bevételek  </v>
      </c>
      <c r="B3" s="408">
        <v>438666</v>
      </c>
      <c r="C3" s="742">
        <f>+$B$3*0.078</f>
        <v>34215.947999999997</v>
      </c>
      <c r="D3" s="742">
        <f>+$B$3*0.009</f>
        <v>3947.9939999999997</v>
      </c>
      <c r="E3" s="742">
        <f>+$B$3*0.27</f>
        <v>118439.82</v>
      </c>
      <c r="F3" s="742">
        <f>+$B$3*0.067</f>
        <v>29390.622000000003</v>
      </c>
      <c r="G3" s="742">
        <f>+$B$3*0.068</f>
        <v>29829.288</v>
      </c>
      <c r="H3" s="742">
        <f>+$B$3*0.045</f>
        <v>19739.969999999998</v>
      </c>
      <c r="I3" s="742">
        <f>+$B$3*0.034</f>
        <v>14914.644</v>
      </c>
      <c r="J3" s="742">
        <f>+$B$3*0.061</f>
        <v>26758.626</v>
      </c>
      <c r="K3" s="742">
        <f>+$B$3*0.202</f>
        <v>88610.532000000007</v>
      </c>
      <c r="L3" s="742">
        <f>+$B$3*0.046</f>
        <v>20178.635999999999</v>
      </c>
      <c r="M3" s="742">
        <f>+$B$3*0.058</f>
        <v>25442.628000000001</v>
      </c>
      <c r="N3" s="742">
        <f>+$B$3*0.062</f>
        <v>27197.292000000001</v>
      </c>
      <c r="O3" s="744">
        <f t="shared" si="1"/>
        <v>438666.00000000006</v>
      </c>
    </row>
    <row r="4" spans="1:15" x14ac:dyDescent="0.2">
      <c r="A4" s="732" t="str">
        <f>+'3. sz. m._kiadások-bevételek'!A16</f>
        <v>3. Működési bevételek</v>
      </c>
      <c r="B4" s="408">
        <v>54100</v>
      </c>
      <c r="C4" s="742">
        <f>+$B$4*0.078</f>
        <v>4219.8</v>
      </c>
      <c r="D4" s="742">
        <f>+$B$4*0.009</f>
        <v>486.9</v>
      </c>
      <c r="E4" s="742">
        <f>+$B$4*0.27</f>
        <v>14607.000000000002</v>
      </c>
      <c r="F4" s="742">
        <f>+$B$4*0.067</f>
        <v>3624.7000000000003</v>
      </c>
      <c r="G4" s="742">
        <f>+$B$4*0.068</f>
        <v>3678.8</v>
      </c>
      <c r="H4" s="742">
        <f>+$B$4*0.045</f>
        <v>2434.5</v>
      </c>
      <c r="I4" s="742">
        <f>+$B$4*0.034</f>
        <v>1839.4</v>
      </c>
      <c r="J4" s="742">
        <f>+$B$4*0.061</f>
        <v>3300.1</v>
      </c>
      <c r="K4" s="742">
        <f>+$B$4*0.202</f>
        <v>10928.2</v>
      </c>
      <c r="L4" s="742">
        <f>+$B$4*0.046</f>
        <v>2488.6</v>
      </c>
      <c r="M4" s="742">
        <f>+$B$4*0.058</f>
        <v>3137.8</v>
      </c>
      <c r="N4" s="742">
        <f>+$B$4*0.062</f>
        <v>3354.2</v>
      </c>
      <c r="O4" s="744">
        <f t="shared" si="1"/>
        <v>54100.000000000007</v>
      </c>
    </row>
    <row r="5" spans="1:15" x14ac:dyDescent="0.2">
      <c r="A5" s="732" t="str">
        <f>+'3. sz. m._kiadások-bevételek'!A20</f>
        <v>1.Felhalmozási célú támogatások államháztartáson belülről</v>
      </c>
      <c r="B5" s="408">
        <v>54014</v>
      </c>
      <c r="C5" s="742">
        <f t="shared" ref="C5:N5" si="2">+$B$5/12</f>
        <v>4501.166666666667</v>
      </c>
      <c r="D5" s="742">
        <f t="shared" si="2"/>
        <v>4501.166666666667</v>
      </c>
      <c r="E5" s="742">
        <f t="shared" si="2"/>
        <v>4501.166666666667</v>
      </c>
      <c r="F5" s="742">
        <f t="shared" si="2"/>
        <v>4501.166666666667</v>
      </c>
      <c r="G5" s="742">
        <f t="shared" si="2"/>
        <v>4501.166666666667</v>
      </c>
      <c r="H5" s="742">
        <f t="shared" si="2"/>
        <v>4501.166666666667</v>
      </c>
      <c r="I5" s="742">
        <f t="shared" si="2"/>
        <v>4501.166666666667</v>
      </c>
      <c r="J5" s="742">
        <f t="shared" si="2"/>
        <v>4501.166666666667</v>
      </c>
      <c r="K5" s="742">
        <f t="shared" si="2"/>
        <v>4501.166666666667</v>
      </c>
      <c r="L5" s="742">
        <f t="shared" si="2"/>
        <v>4501.166666666667</v>
      </c>
      <c r="M5" s="742">
        <f t="shared" si="2"/>
        <v>4501.166666666667</v>
      </c>
      <c r="N5" s="742">
        <f t="shared" si="2"/>
        <v>4501.166666666667</v>
      </c>
      <c r="O5" s="744">
        <f t="shared" si="1"/>
        <v>54013.999999999993</v>
      </c>
    </row>
    <row r="6" spans="1:15" x14ac:dyDescent="0.2">
      <c r="A6" s="732" t="str">
        <f>+'3. sz. m._kiadások-bevételek'!A23</f>
        <v>2. Felhalmozási bevételek</v>
      </c>
      <c r="B6" s="408"/>
      <c r="C6" s="742"/>
      <c r="D6" s="742"/>
      <c r="E6" s="742"/>
      <c r="F6" s="742"/>
      <c r="G6" s="742"/>
      <c r="H6" s="742"/>
      <c r="I6" s="742"/>
      <c r="J6" s="742"/>
      <c r="K6" s="742"/>
      <c r="L6" s="742"/>
      <c r="M6" s="742"/>
      <c r="N6" s="742"/>
      <c r="O6" s="744">
        <f t="shared" si="1"/>
        <v>0</v>
      </c>
    </row>
    <row r="7" spans="1:15" x14ac:dyDescent="0.2">
      <c r="A7" s="732" t="str">
        <f>+'3. sz. m._kiadások-bevételek'!A26</f>
        <v>3. Felhalmozási célú átvett pénzeszközök</v>
      </c>
      <c r="B7" s="408"/>
      <c r="C7" s="742"/>
      <c r="D7" s="742"/>
      <c r="E7" s="742"/>
      <c r="F7" s="742"/>
      <c r="G7" s="742"/>
      <c r="H7" s="742"/>
      <c r="I7" s="742"/>
      <c r="J7" s="742"/>
      <c r="K7" s="742"/>
      <c r="L7" s="742"/>
      <c r="M7" s="742"/>
      <c r="N7" s="742"/>
      <c r="O7" s="744">
        <f t="shared" si="1"/>
        <v>0</v>
      </c>
    </row>
    <row r="8" spans="1:15" s="173" customFormat="1" x14ac:dyDescent="0.2">
      <c r="A8" s="733" t="str">
        <f>+'3. sz. m._kiadások-bevételek'!A33</f>
        <v>3. Maradvány igénybevétele</v>
      </c>
      <c r="B8" s="408">
        <v>138802</v>
      </c>
      <c r="C8" s="742">
        <v>14195</v>
      </c>
      <c r="D8" s="742">
        <v>48196</v>
      </c>
      <c r="E8" s="742">
        <v>0</v>
      </c>
      <c r="F8" s="742">
        <v>0</v>
      </c>
      <c r="G8" s="742">
        <v>0</v>
      </c>
      <c r="H8" s="742">
        <v>0</v>
      </c>
      <c r="I8" s="742">
        <v>24655</v>
      </c>
      <c r="J8" s="742">
        <v>22572</v>
      </c>
      <c r="K8" s="742">
        <v>0</v>
      </c>
      <c r="L8" s="742">
        <v>0</v>
      </c>
      <c r="M8" s="742">
        <v>0</v>
      </c>
      <c r="N8" s="742">
        <v>29184</v>
      </c>
      <c r="O8" s="274">
        <f t="shared" si="1"/>
        <v>138802</v>
      </c>
    </row>
    <row r="9" spans="1:15" ht="13.5" thickBot="1" x14ac:dyDescent="0.25">
      <c r="A9" s="132"/>
      <c r="B9" s="10"/>
      <c r="C9" s="743"/>
      <c r="D9" s="743"/>
      <c r="E9" s="743"/>
      <c r="F9" s="743"/>
      <c r="G9" s="743"/>
      <c r="H9" s="743"/>
      <c r="I9" s="743"/>
      <c r="J9" s="743"/>
      <c r="K9" s="743"/>
      <c r="L9" s="743"/>
      <c r="M9" s="743"/>
      <c r="N9" s="743"/>
      <c r="O9" s="275"/>
    </row>
    <row r="10" spans="1:15" ht="15" customHeight="1" thickBot="1" x14ac:dyDescent="0.25">
      <c r="A10" s="63" t="s">
        <v>102</v>
      </c>
      <c r="B10" s="167">
        <f t="shared" ref="B10:O10" si="3">SUM(B2:B8)</f>
        <v>1160244</v>
      </c>
      <c r="C10" s="167">
        <f t="shared" si="3"/>
        <v>96687.081333333335</v>
      </c>
      <c r="D10" s="167">
        <f t="shared" si="3"/>
        <v>96687.227333333329</v>
      </c>
      <c r="E10" s="167">
        <f t="shared" si="3"/>
        <v>177103.15333333332</v>
      </c>
      <c r="F10" s="167">
        <f t="shared" si="3"/>
        <v>77071.655333333329</v>
      </c>
      <c r="G10" s="167">
        <f t="shared" si="3"/>
        <v>77564.421333333332</v>
      </c>
      <c r="H10" s="167">
        <f t="shared" si="3"/>
        <v>66230.80333333333</v>
      </c>
      <c r="I10" s="167">
        <f t="shared" si="3"/>
        <v>85465.377333333337</v>
      </c>
      <c r="J10" s="167">
        <f t="shared" si="3"/>
        <v>96687.059333333338</v>
      </c>
      <c r="K10" s="167">
        <f t="shared" si="3"/>
        <v>143595.06533333333</v>
      </c>
      <c r="L10" s="167">
        <f t="shared" si="3"/>
        <v>66723.569333333333</v>
      </c>
      <c r="M10" s="167">
        <f t="shared" si="3"/>
        <v>72636.761333333343</v>
      </c>
      <c r="N10" s="167">
        <f t="shared" si="3"/>
        <v>103791.82533333334</v>
      </c>
      <c r="O10" s="167">
        <f t="shared" si="3"/>
        <v>1160244</v>
      </c>
    </row>
    <row r="11" spans="1:15" ht="36.75" customHeight="1" thickBot="1" x14ac:dyDescent="0.25">
      <c r="A11" s="63" t="s">
        <v>103</v>
      </c>
      <c r="B11" s="729" t="s">
        <v>497</v>
      </c>
      <c r="C11" s="734" t="s">
        <v>105</v>
      </c>
      <c r="D11" s="734" t="s">
        <v>106</v>
      </c>
      <c r="E11" s="734" t="s">
        <v>107</v>
      </c>
      <c r="F11" s="734" t="s">
        <v>108</v>
      </c>
      <c r="G11" s="734" t="s">
        <v>109</v>
      </c>
      <c r="H11" s="734" t="s">
        <v>110</v>
      </c>
      <c r="I11" s="734" t="s">
        <v>111</v>
      </c>
      <c r="J11" s="734" t="s">
        <v>112</v>
      </c>
      <c r="K11" s="734" t="s">
        <v>113</v>
      </c>
      <c r="L11" s="734" t="s">
        <v>114</v>
      </c>
      <c r="M11" s="734" t="s">
        <v>115</v>
      </c>
      <c r="N11" s="734" t="s">
        <v>116</v>
      </c>
      <c r="O11" s="735" t="s">
        <v>496</v>
      </c>
    </row>
    <row r="12" spans="1:15" x14ac:dyDescent="0.2">
      <c r="A12" s="736" t="str">
        <f>+'3. sz. m._kiadások-bevételek'!A44</f>
        <v>1. Személyi juttatások</v>
      </c>
      <c r="B12" s="408">
        <v>33994</v>
      </c>
      <c r="C12" s="742">
        <f t="shared" ref="C12:N12" si="4">+$B$12/12</f>
        <v>2832.8333333333335</v>
      </c>
      <c r="D12" s="742">
        <f t="shared" si="4"/>
        <v>2832.8333333333335</v>
      </c>
      <c r="E12" s="742">
        <f t="shared" si="4"/>
        <v>2832.8333333333335</v>
      </c>
      <c r="F12" s="742">
        <f t="shared" si="4"/>
        <v>2832.8333333333335</v>
      </c>
      <c r="G12" s="742">
        <f t="shared" si="4"/>
        <v>2832.8333333333335</v>
      </c>
      <c r="H12" s="742">
        <f t="shared" si="4"/>
        <v>2832.8333333333335</v>
      </c>
      <c r="I12" s="742">
        <f t="shared" si="4"/>
        <v>2832.8333333333335</v>
      </c>
      <c r="J12" s="742">
        <f t="shared" si="4"/>
        <v>2832.8333333333335</v>
      </c>
      <c r="K12" s="742">
        <f t="shared" si="4"/>
        <v>2832.8333333333335</v>
      </c>
      <c r="L12" s="742">
        <f t="shared" si="4"/>
        <v>2832.8333333333335</v>
      </c>
      <c r="M12" s="742">
        <f t="shared" si="4"/>
        <v>2832.8333333333335</v>
      </c>
      <c r="N12" s="742">
        <f t="shared" si="4"/>
        <v>2832.8333333333335</v>
      </c>
      <c r="O12" s="745">
        <f>SUM(C12:N12)</f>
        <v>33993.999999999993</v>
      </c>
    </row>
    <row r="13" spans="1:15" x14ac:dyDescent="0.2">
      <c r="A13" s="736" t="str">
        <f>+'3. sz. m._kiadások-bevételek'!A45</f>
        <v>2. Munkaadókat terhelő járulékok és szociális hozzájárulási adó</v>
      </c>
      <c r="B13" s="408">
        <v>7479</v>
      </c>
      <c r="C13" s="742">
        <f>+$B$13/12</f>
        <v>623.25</v>
      </c>
      <c r="D13" s="742">
        <f t="shared" ref="D13:N13" si="5">+$B$13/12</f>
        <v>623.25</v>
      </c>
      <c r="E13" s="742">
        <f t="shared" si="5"/>
        <v>623.25</v>
      </c>
      <c r="F13" s="742">
        <f t="shared" si="5"/>
        <v>623.25</v>
      </c>
      <c r="G13" s="742">
        <f t="shared" si="5"/>
        <v>623.25</v>
      </c>
      <c r="H13" s="742">
        <f t="shared" si="5"/>
        <v>623.25</v>
      </c>
      <c r="I13" s="742">
        <f t="shared" si="5"/>
        <v>623.25</v>
      </c>
      <c r="J13" s="742">
        <f t="shared" si="5"/>
        <v>623.25</v>
      </c>
      <c r="K13" s="742">
        <f t="shared" si="5"/>
        <v>623.25</v>
      </c>
      <c r="L13" s="742">
        <f t="shared" si="5"/>
        <v>623.25</v>
      </c>
      <c r="M13" s="742">
        <f t="shared" si="5"/>
        <v>623.25</v>
      </c>
      <c r="N13" s="742">
        <f t="shared" si="5"/>
        <v>623.25</v>
      </c>
      <c r="O13" s="745">
        <f t="shared" ref="O13:O21" si="6">SUM(C13:N13)</f>
        <v>7479</v>
      </c>
    </row>
    <row r="14" spans="1:15" x14ac:dyDescent="0.2">
      <c r="A14" s="736" t="str">
        <f>+'3. sz. m._kiadások-bevételek'!A46</f>
        <v>3. Dologi  kiadások</v>
      </c>
      <c r="B14" s="408">
        <v>257788</v>
      </c>
      <c r="C14" s="742">
        <f t="shared" ref="C14:N14" si="7">+$B$14/12</f>
        <v>21482.333333333332</v>
      </c>
      <c r="D14" s="742">
        <f t="shared" si="7"/>
        <v>21482.333333333332</v>
      </c>
      <c r="E14" s="742">
        <f>+$B$14/12</f>
        <v>21482.333333333332</v>
      </c>
      <c r="F14" s="742">
        <f t="shared" si="7"/>
        <v>21482.333333333332</v>
      </c>
      <c r="G14" s="742">
        <f t="shared" si="7"/>
        <v>21482.333333333332</v>
      </c>
      <c r="H14" s="742">
        <f t="shared" si="7"/>
        <v>21482.333333333332</v>
      </c>
      <c r="I14" s="742">
        <f t="shared" si="7"/>
        <v>21482.333333333332</v>
      </c>
      <c r="J14" s="742">
        <f t="shared" si="7"/>
        <v>21482.333333333332</v>
      </c>
      <c r="K14" s="742">
        <f t="shared" si="7"/>
        <v>21482.333333333332</v>
      </c>
      <c r="L14" s="742">
        <f t="shared" si="7"/>
        <v>21482.333333333332</v>
      </c>
      <c r="M14" s="742">
        <f t="shared" si="7"/>
        <v>21482.333333333332</v>
      </c>
      <c r="N14" s="742">
        <f t="shared" si="7"/>
        <v>21482.333333333332</v>
      </c>
      <c r="O14" s="745">
        <f t="shared" si="6"/>
        <v>257788.00000000003</v>
      </c>
    </row>
    <row r="15" spans="1:15" x14ac:dyDescent="0.2">
      <c r="A15" s="736" t="str">
        <f>+'3. sz. m._kiadások-bevételek'!A47</f>
        <v>4. Ellátottak pénzbeli juttatásai</v>
      </c>
      <c r="B15" s="408">
        <v>36898</v>
      </c>
      <c r="C15" s="742">
        <f>+$B15/12</f>
        <v>3074.8333333333335</v>
      </c>
      <c r="D15" s="742">
        <f t="shared" ref="D15:N15" si="8">+$B15/12</f>
        <v>3074.8333333333335</v>
      </c>
      <c r="E15" s="742">
        <f t="shared" si="8"/>
        <v>3074.8333333333335</v>
      </c>
      <c r="F15" s="742">
        <f t="shared" si="8"/>
        <v>3074.8333333333335</v>
      </c>
      <c r="G15" s="742">
        <f t="shared" si="8"/>
        <v>3074.8333333333335</v>
      </c>
      <c r="H15" s="742">
        <f t="shared" si="8"/>
        <v>3074.8333333333335</v>
      </c>
      <c r="I15" s="742">
        <f t="shared" si="8"/>
        <v>3074.8333333333335</v>
      </c>
      <c r="J15" s="742">
        <f t="shared" si="8"/>
        <v>3074.8333333333335</v>
      </c>
      <c r="K15" s="742">
        <f t="shared" si="8"/>
        <v>3074.8333333333335</v>
      </c>
      <c r="L15" s="742">
        <f t="shared" si="8"/>
        <v>3074.8333333333335</v>
      </c>
      <c r="M15" s="742">
        <f t="shared" si="8"/>
        <v>3074.8333333333335</v>
      </c>
      <c r="N15" s="742">
        <f t="shared" si="8"/>
        <v>3074.8333333333335</v>
      </c>
      <c r="O15" s="274">
        <f t="shared" si="6"/>
        <v>36898</v>
      </c>
    </row>
    <row r="16" spans="1:15" x14ac:dyDescent="0.2">
      <c r="A16" s="737" t="str">
        <f>+'3. sz. m._kiadások-bevételek'!A48</f>
        <v>5. Egyéb működési célú kiadások</v>
      </c>
      <c r="B16" s="408">
        <v>165638</v>
      </c>
      <c r="C16" s="742">
        <f>+$B$16/12</f>
        <v>13803.166666666666</v>
      </c>
      <c r="D16" s="742">
        <f t="shared" ref="D16:N16" si="9">+$B$16/12</f>
        <v>13803.166666666666</v>
      </c>
      <c r="E16" s="742">
        <f t="shared" si="9"/>
        <v>13803.166666666666</v>
      </c>
      <c r="F16" s="742">
        <f t="shared" si="9"/>
        <v>13803.166666666666</v>
      </c>
      <c r="G16" s="742">
        <f t="shared" si="9"/>
        <v>13803.166666666666</v>
      </c>
      <c r="H16" s="742">
        <f t="shared" si="9"/>
        <v>13803.166666666666</v>
      </c>
      <c r="I16" s="742">
        <f t="shared" si="9"/>
        <v>13803.166666666666</v>
      </c>
      <c r="J16" s="742">
        <f t="shared" si="9"/>
        <v>13803.166666666666</v>
      </c>
      <c r="K16" s="742">
        <f t="shared" si="9"/>
        <v>13803.166666666666</v>
      </c>
      <c r="L16" s="742">
        <f t="shared" si="9"/>
        <v>13803.166666666666</v>
      </c>
      <c r="M16" s="742">
        <f t="shared" si="9"/>
        <v>13803.166666666666</v>
      </c>
      <c r="N16" s="742">
        <f t="shared" si="9"/>
        <v>13803.166666666666</v>
      </c>
      <c r="O16" s="274">
        <f t="shared" si="6"/>
        <v>165638</v>
      </c>
    </row>
    <row r="17" spans="1:15" x14ac:dyDescent="0.2">
      <c r="A17" s="737" t="str">
        <f>+'3. sz. m._kiadások-bevételek'!A53</f>
        <v>1. Beruházások</v>
      </c>
      <c r="B17" s="408">
        <v>43450</v>
      </c>
      <c r="C17" s="742">
        <f>+$B$17/12</f>
        <v>3620.8333333333335</v>
      </c>
      <c r="D17" s="742">
        <f t="shared" ref="D17:N17" si="10">+$B$17/12</f>
        <v>3620.8333333333335</v>
      </c>
      <c r="E17" s="742">
        <f t="shared" si="10"/>
        <v>3620.8333333333335</v>
      </c>
      <c r="F17" s="742">
        <f t="shared" si="10"/>
        <v>3620.8333333333335</v>
      </c>
      <c r="G17" s="742">
        <f t="shared" si="10"/>
        <v>3620.8333333333335</v>
      </c>
      <c r="H17" s="742">
        <f t="shared" si="10"/>
        <v>3620.8333333333335</v>
      </c>
      <c r="I17" s="742">
        <f t="shared" si="10"/>
        <v>3620.8333333333335</v>
      </c>
      <c r="J17" s="742">
        <f t="shared" si="10"/>
        <v>3620.8333333333335</v>
      </c>
      <c r="K17" s="742">
        <f t="shared" si="10"/>
        <v>3620.8333333333335</v>
      </c>
      <c r="L17" s="742">
        <f t="shared" si="10"/>
        <v>3620.8333333333335</v>
      </c>
      <c r="M17" s="742">
        <f t="shared" si="10"/>
        <v>3620.8333333333335</v>
      </c>
      <c r="N17" s="742">
        <f t="shared" si="10"/>
        <v>3620.8333333333335</v>
      </c>
      <c r="O17" s="274">
        <f t="shared" si="6"/>
        <v>43450</v>
      </c>
    </row>
    <row r="18" spans="1:15" ht="13.5" thickBot="1" x14ac:dyDescent="0.25">
      <c r="A18" s="737" t="str">
        <f>+'3. sz. m._kiadások-bevételek'!A63</f>
        <v>3. Központi, irányítószervi támogatás folyósítása</v>
      </c>
      <c r="B18" s="408">
        <v>614997</v>
      </c>
      <c r="C18" s="742">
        <f>+$B$18/12</f>
        <v>51249.75</v>
      </c>
      <c r="D18" s="742">
        <f t="shared" ref="D18:N18" si="11">+$B$18/12</f>
        <v>51249.75</v>
      </c>
      <c r="E18" s="742">
        <f t="shared" si="11"/>
        <v>51249.75</v>
      </c>
      <c r="F18" s="742">
        <f t="shared" si="11"/>
        <v>51249.75</v>
      </c>
      <c r="G18" s="742">
        <f t="shared" si="11"/>
        <v>51249.75</v>
      </c>
      <c r="H18" s="742">
        <f t="shared" si="11"/>
        <v>51249.75</v>
      </c>
      <c r="I18" s="742">
        <f t="shared" si="11"/>
        <v>51249.75</v>
      </c>
      <c r="J18" s="742">
        <f t="shared" si="11"/>
        <v>51249.75</v>
      </c>
      <c r="K18" s="742">
        <f t="shared" si="11"/>
        <v>51249.75</v>
      </c>
      <c r="L18" s="742">
        <f t="shared" si="11"/>
        <v>51249.75</v>
      </c>
      <c r="M18" s="742">
        <f t="shared" si="11"/>
        <v>51249.75</v>
      </c>
      <c r="N18" s="742">
        <f t="shared" si="11"/>
        <v>51249.75</v>
      </c>
      <c r="O18" s="274">
        <f t="shared" si="6"/>
        <v>614997</v>
      </c>
    </row>
    <row r="19" spans="1:15" ht="15.75" customHeight="1" thickBot="1" x14ac:dyDescent="0.25">
      <c r="A19" s="738" t="s">
        <v>104</v>
      </c>
      <c r="B19" s="167">
        <f>SUM(B12:B18)</f>
        <v>1160244</v>
      </c>
      <c r="C19" s="167">
        <f t="shared" ref="C19:N19" si="12">SUM(C12:C18)</f>
        <v>96687</v>
      </c>
      <c r="D19" s="167">
        <f t="shared" si="12"/>
        <v>96687</v>
      </c>
      <c r="E19" s="167">
        <f t="shared" si="12"/>
        <v>96687</v>
      </c>
      <c r="F19" s="167">
        <f t="shared" si="12"/>
        <v>96687</v>
      </c>
      <c r="G19" s="167">
        <f t="shared" si="12"/>
        <v>96687</v>
      </c>
      <c r="H19" s="167">
        <f t="shared" si="12"/>
        <v>96687</v>
      </c>
      <c r="I19" s="167">
        <f t="shared" si="12"/>
        <v>96687</v>
      </c>
      <c r="J19" s="167">
        <f t="shared" si="12"/>
        <v>96687</v>
      </c>
      <c r="K19" s="167">
        <f t="shared" si="12"/>
        <v>96687</v>
      </c>
      <c r="L19" s="167">
        <f t="shared" si="12"/>
        <v>96687</v>
      </c>
      <c r="M19" s="167">
        <f t="shared" si="12"/>
        <v>96687</v>
      </c>
      <c r="N19" s="167">
        <f t="shared" si="12"/>
        <v>96687</v>
      </c>
      <c r="O19" s="165">
        <f t="shared" si="6"/>
        <v>1160244</v>
      </c>
    </row>
    <row r="20" spans="1:15" ht="13.5" thickBot="1" x14ac:dyDescent="0.25">
      <c r="A20" s="739"/>
      <c r="B20" s="409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166">
        <f t="shared" si="6"/>
        <v>0</v>
      </c>
    </row>
    <row r="21" spans="1:15" ht="13.5" hidden="1" thickBot="1" x14ac:dyDescent="0.25">
      <c r="A21" s="739" t="s">
        <v>453</v>
      </c>
      <c r="B21" s="55">
        <f t="shared" ref="B21:N21" si="13">+B10-B19</f>
        <v>0</v>
      </c>
      <c r="C21" s="411">
        <f t="shared" si="13"/>
        <v>8.1333333335351199E-2</v>
      </c>
      <c r="D21" s="411">
        <f t="shared" si="13"/>
        <v>0.22733333332871553</v>
      </c>
      <c r="E21" s="411">
        <f t="shared" si="13"/>
        <v>80416.153333333321</v>
      </c>
      <c r="F21" s="411">
        <f t="shared" si="13"/>
        <v>-19615.344666666671</v>
      </c>
      <c r="G21" s="411">
        <f t="shared" si="13"/>
        <v>-19122.578666666668</v>
      </c>
      <c r="H21" s="411">
        <f t="shared" si="13"/>
        <v>-30456.19666666667</v>
      </c>
      <c r="I21" s="411">
        <f t="shared" si="13"/>
        <v>-11221.622666666663</v>
      </c>
      <c r="J21" s="411">
        <f t="shared" si="13"/>
        <v>5.9333333338145167E-2</v>
      </c>
      <c r="K21" s="411">
        <f t="shared" si="13"/>
        <v>46908.065333333332</v>
      </c>
      <c r="L21" s="411">
        <f t="shared" si="13"/>
        <v>-29963.430666666667</v>
      </c>
      <c r="M21" s="411">
        <f t="shared" si="13"/>
        <v>-24050.238666666657</v>
      </c>
      <c r="N21" s="411">
        <f t="shared" si="13"/>
        <v>7104.8253333333414</v>
      </c>
      <c r="O21" s="166">
        <f t="shared" si="6"/>
        <v>0</v>
      </c>
    </row>
    <row r="22" spans="1:15" ht="13.5" hidden="1" customHeight="1" x14ac:dyDescent="0.2">
      <c r="A22" s="857"/>
      <c r="B22" s="240"/>
      <c r="C22" s="385"/>
      <c r="D22" s="385"/>
      <c r="E22" s="385"/>
      <c r="F22" s="385">
        <f>+E21+F21</f>
        <v>60800.80866666665</v>
      </c>
      <c r="G22" s="385">
        <f>+F22+G21</f>
        <v>41678.229999999981</v>
      </c>
      <c r="H22" s="385">
        <f>+G22+H21</f>
        <v>11222.033333333311</v>
      </c>
      <c r="I22" s="385"/>
      <c r="J22" s="385"/>
      <c r="K22" s="385"/>
      <c r="L22" s="385">
        <f>+K21+L21</f>
        <v>16944.634666666665</v>
      </c>
      <c r="M22" s="385">
        <f>+L22+M21</f>
        <v>-7105.6039999999921</v>
      </c>
      <c r="N22" s="385"/>
      <c r="O22" s="385"/>
    </row>
    <row r="23" spans="1:15" x14ac:dyDescent="0.2">
      <c r="A23" s="858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</row>
    <row r="24" spans="1:15" x14ac:dyDescent="0.2">
      <c r="C24" s="412"/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2"/>
    </row>
  </sheetData>
  <phoneticPr fontId="11" type="noConversion"/>
  <printOptions horizontalCentered="1"/>
  <pageMargins left="0.27559055118110237" right="0.23622047244094491" top="0.94488188976377963" bottom="0.19685039370078741" header="0.47244094488188981" footer="0.15748031496062992"/>
  <pageSetup paperSize="9" scale="65" orientation="landscape" r:id="rId1"/>
  <headerFooter alignWithMargins="0">
    <oddHeader>&amp;L9. sz. melléklet&amp;C&amp;"Arial,Félkövér"&amp;11Nagykovácsi Nagyközség Önkormányzatának 
2017. évi bevétel-kiadás ütemterve&amp;Radatok eFt-ban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>
    <pageSetUpPr fitToPage="1"/>
  </sheetPr>
  <dimension ref="A2:A16"/>
  <sheetViews>
    <sheetView zoomScaleNormal="100" workbookViewId="0">
      <selection activeCell="A2" sqref="A2"/>
    </sheetView>
  </sheetViews>
  <sheetFormatPr defaultRowHeight="12.75" x14ac:dyDescent="0.2"/>
  <sheetData>
    <row r="2" spans="1:1" ht="15" x14ac:dyDescent="0.2">
      <c r="A2" s="48" t="s">
        <v>449</v>
      </c>
    </row>
    <row r="16" spans="1:1" s="8" customFormat="1" x14ac:dyDescent="0.2"/>
  </sheetData>
  <phoneticPr fontId="11" type="noConversion"/>
  <printOptions horizontalCentered="1"/>
  <pageMargins left="0.15748031496062992" right="0.27559055118110237" top="1.6141732283464567" bottom="0.70866141732283472" header="0.59055118110236227" footer="0.19685039370078741"/>
  <pageSetup paperSize="9" orientation="landscape" r:id="rId1"/>
  <headerFooter alignWithMargins="0">
    <oddHeader>&amp;L10.sz.melléklet&amp;C&amp;"Arial,Félkövér"&amp;11
Nagykovácsi Nagyközség Önkormányzat fejlesztési hiteleinek állománya 2017. év 
&amp;Radatok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9">
    <pageSetUpPr fitToPage="1"/>
  </sheetPr>
  <dimension ref="A1:Q38"/>
  <sheetViews>
    <sheetView zoomScaleNormal="100" workbookViewId="0">
      <selection activeCell="L18" sqref="L18:L19"/>
    </sheetView>
  </sheetViews>
  <sheetFormatPr defaultRowHeight="12.75" x14ac:dyDescent="0.2"/>
  <cols>
    <col min="1" max="1" width="39.140625" customWidth="1"/>
    <col min="2" max="2" width="7.7109375" hidden="1" customWidth="1"/>
    <col min="3" max="3" width="8.28515625" hidden="1" customWidth="1"/>
    <col min="4" max="4" width="7.7109375" hidden="1" customWidth="1"/>
    <col min="5" max="14" width="7.7109375" customWidth="1"/>
    <col min="15" max="15" width="11.7109375" customWidth="1"/>
    <col min="16" max="16" width="24.140625" bestFit="1" customWidth="1"/>
    <col min="17" max="17" width="22.7109375" customWidth="1"/>
  </cols>
  <sheetData>
    <row r="1" spans="1:17" s="192" customFormat="1" x14ac:dyDescent="0.2">
      <c r="A1" s="190" t="s">
        <v>3</v>
      </c>
      <c r="B1" s="219">
        <v>2010</v>
      </c>
      <c r="C1" s="220">
        <v>2011</v>
      </c>
      <c r="D1" s="249">
        <v>2012</v>
      </c>
      <c r="E1" s="191">
        <v>2014</v>
      </c>
      <c r="F1" s="191">
        <v>2015</v>
      </c>
      <c r="G1" s="191">
        <v>2016</v>
      </c>
      <c r="H1" s="191">
        <v>2017</v>
      </c>
      <c r="I1" s="191">
        <v>2018</v>
      </c>
      <c r="J1" s="191">
        <v>2019</v>
      </c>
      <c r="K1" s="191">
        <v>2020</v>
      </c>
      <c r="L1" s="191">
        <v>2021</v>
      </c>
      <c r="M1" s="191">
        <v>2022</v>
      </c>
      <c r="N1" s="191">
        <v>2023</v>
      </c>
      <c r="O1" s="276" t="s">
        <v>4</v>
      </c>
      <c r="P1" s="217" t="s">
        <v>253</v>
      </c>
      <c r="Q1" s="217" t="s">
        <v>252</v>
      </c>
    </row>
    <row r="2" spans="1:17" s="192" customFormat="1" ht="13.5" thickBot="1" x14ac:dyDescent="0.25">
      <c r="A2" s="193">
        <v>1</v>
      </c>
      <c r="B2" s="221"/>
      <c r="C2" s="222"/>
      <c r="D2" s="250"/>
      <c r="E2" s="195">
        <v>2</v>
      </c>
      <c r="F2" s="195">
        <v>3</v>
      </c>
      <c r="G2" s="195">
        <v>4</v>
      </c>
      <c r="H2" s="195">
        <v>5</v>
      </c>
      <c r="I2" s="194">
        <v>6</v>
      </c>
      <c r="J2" s="194">
        <v>7</v>
      </c>
      <c r="K2" s="194">
        <v>8</v>
      </c>
      <c r="L2" s="194">
        <v>9</v>
      </c>
      <c r="M2" s="194">
        <v>10</v>
      </c>
      <c r="N2" s="196">
        <v>11</v>
      </c>
      <c r="O2" s="277" t="s">
        <v>211</v>
      </c>
      <c r="P2" s="339" t="s">
        <v>254</v>
      </c>
      <c r="Q2" s="339" t="s">
        <v>255</v>
      </c>
    </row>
    <row r="3" spans="1:17" s="192" customFormat="1" ht="12" hidden="1" x14ac:dyDescent="0.2">
      <c r="A3" s="197" t="s">
        <v>146</v>
      </c>
      <c r="B3" s="223"/>
      <c r="C3" s="224"/>
      <c r="D3" s="251"/>
      <c r="E3" s="199"/>
      <c r="F3" s="199"/>
      <c r="G3" s="199"/>
      <c r="H3" s="199"/>
      <c r="I3" s="198"/>
      <c r="J3" s="198"/>
      <c r="K3" s="198"/>
      <c r="L3" s="198"/>
      <c r="M3" s="198"/>
      <c r="N3" s="198"/>
      <c r="O3" s="278"/>
      <c r="P3" s="200"/>
      <c r="Q3" s="200"/>
    </row>
    <row r="4" spans="1:17" s="192" customFormat="1" hidden="1" x14ac:dyDescent="0.2">
      <c r="A4" s="201" t="s">
        <v>147</v>
      </c>
      <c r="B4" s="223"/>
      <c r="C4" s="224"/>
      <c r="D4" s="251"/>
      <c r="E4" s="199"/>
      <c r="F4" s="199"/>
      <c r="G4" s="199"/>
      <c r="H4" s="199"/>
      <c r="I4" s="198"/>
      <c r="J4" s="198"/>
      <c r="K4" s="198"/>
      <c r="L4" s="198"/>
      <c r="M4" s="198"/>
      <c r="N4" s="198"/>
      <c r="O4" s="278"/>
      <c r="P4" s="200"/>
      <c r="Q4" s="200"/>
    </row>
    <row r="5" spans="1:17" s="192" customFormat="1" ht="12" hidden="1" x14ac:dyDescent="0.2">
      <c r="A5" s="202" t="s">
        <v>148</v>
      </c>
      <c r="B5" s="225">
        <v>19680</v>
      </c>
      <c r="C5" s="226">
        <v>0</v>
      </c>
      <c r="D5" s="252">
        <v>0</v>
      </c>
      <c r="E5" s="204"/>
      <c r="F5" s="204"/>
      <c r="G5" s="204"/>
      <c r="H5" s="204"/>
      <c r="I5" s="203"/>
      <c r="J5" s="203"/>
      <c r="K5" s="203"/>
      <c r="L5" s="203"/>
      <c r="M5" s="203"/>
      <c r="N5" s="203"/>
      <c r="O5" s="279">
        <f>SUM(E5:N5)</f>
        <v>0</v>
      </c>
      <c r="P5" s="208">
        <f>+O5</f>
        <v>0</v>
      </c>
      <c r="Q5" s="208">
        <f>+O5+P5</f>
        <v>0</v>
      </c>
    </row>
    <row r="6" spans="1:17" s="192" customFormat="1" ht="12" hidden="1" x14ac:dyDescent="0.2">
      <c r="A6" s="283" t="s">
        <v>149</v>
      </c>
      <c r="B6" s="284">
        <f>SUM(B5:B5)</f>
        <v>19680</v>
      </c>
      <c r="C6" s="285">
        <f>SUM(C5:C5)</f>
        <v>0</v>
      </c>
      <c r="D6" s="286">
        <f>SUM(D5:D5)</f>
        <v>0</v>
      </c>
      <c r="E6" s="287"/>
      <c r="F6" s="287"/>
      <c r="G6" s="287"/>
      <c r="H6" s="287"/>
      <c r="I6" s="288"/>
      <c r="J6" s="288"/>
      <c r="K6" s="288"/>
      <c r="L6" s="288"/>
      <c r="M6" s="288"/>
      <c r="N6" s="288"/>
      <c r="O6" s="289">
        <f t="shared" ref="O6:O28" si="0">SUM(E6:N6)</f>
        <v>0</v>
      </c>
      <c r="P6" s="290">
        <f t="shared" ref="P6:P28" si="1">+O6</f>
        <v>0</v>
      </c>
      <c r="Q6" s="290">
        <f t="shared" ref="Q6:Q28" si="2">+O6+P6</f>
        <v>0</v>
      </c>
    </row>
    <row r="7" spans="1:17" x14ac:dyDescent="0.2">
      <c r="A7" s="291" t="s">
        <v>150</v>
      </c>
      <c r="B7" s="292"/>
      <c r="C7" s="293"/>
      <c r="D7" s="294"/>
      <c r="E7" s="295"/>
      <c r="F7" s="295"/>
      <c r="G7" s="295"/>
      <c r="H7" s="295"/>
      <c r="I7" s="296"/>
      <c r="J7" s="296"/>
      <c r="K7" s="296"/>
      <c r="L7" s="296"/>
      <c r="M7" s="296"/>
      <c r="N7" s="296"/>
      <c r="O7" s="297">
        <f t="shared" si="0"/>
        <v>0</v>
      </c>
      <c r="P7" s="298">
        <f t="shared" si="1"/>
        <v>0</v>
      </c>
      <c r="Q7" s="298">
        <f t="shared" si="2"/>
        <v>0</v>
      </c>
    </row>
    <row r="8" spans="1:17" s="192" customFormat="1" x14ac:dyDescent="0.2">
      <c r="A8" s="207" t="s">
        <v>245</v>
      </c>
      <c r="B8" s="225"/>
      <c r="C8" s="226"/>
      <c r="D8" s="252"/>
      <c r="E8" s="204"/>
      <c r="F8" s="204"/>
      <c r="G8" s="204"/>
      <c r="H8" s="204"/>
      <c r="I8" s="203"/>
      <c r="J8" s="203"/>
      <c r="K8" s="203"/>
      <c r="L8" s="203"/>
      <c r="M8" s="203"/>
      <c r="N8" s="203"/>
      <c r="O8" s="279">
        <f t="shared" si="0"/>
        <v>0</v>
      </c>
      <c r="P8" s="208">
        <v>2531</v>
      </c>
      <c r="Q8" s="208">
        <f>+P8</f>
        <v>2531</v>
      </c>
    </row>
    <row r="9" spans="1:17" s="192" customFormat="1" ht="12" x14ac:dyDescent="0.2">
      <c r="A9" s="209"/>
      <c r="B9" s="225">
        <v>1706</v>
      </c>
      <c r="C9" s="226">
        <v>1706</v>
      </c>
      <c r="D9" s="252">
        <v>1707</v>
      </c>
      <c r="E9" s="204"/>
      <c r="F9" s="204"/>
      <c r="G9" s="204"/>
      <c r="H9" s="204"/>
      <c r="I9" s="203"/>
      <c r="J9" s="203"/>
      <c r="K9" s="203"/>
      <c r="L9" s="203"/>
      <c r="M9" s="203"/>
      <c r="N9" s="203"/>
      <c r="O9" s="279">
        <f t="shared" si="0"/>
        <v>0</v>
      </c>
      <c r="P9" s="208"/>
      <c r="Q9" s="208"/>
    </row>
    <row r="10" spans="1:17" s="192" customFormat="1" thickBot="1" x14ac:dyDescent="0.25">
      <c r="A10" s="299" t="s">
        <v>149</v>
      </c>
      <c r="B10" s="300">
        <f>SUM(B9:B9)</f>
        <v>1706</v>
      </c>
      <c r="C10" s="301">
        <f>SUM(C9:C9)</f>
        <v>1706</v>
      </c>
      <c r="D10" s="302">
        <f>SUM(D9:D9)</f>
        <v>1707</v>
      </c>
      <c r="E10" s="303">
        <f>SUM(E9:E9)</f>
        <v>0</v>
      </c>
      <c r="F10" s="303"/>
      <c r="G10" s="303"/>
      <c r="H10" s="303"/>
      <c r="I10" s="304"/>
      <c r="J10" s="304"/>
      <c r="K10" s="304"/>
      <c r="L10" s="304"/>
      <c r="M10" s="304"/>
      <c r="N10" s="304"/>
      <c r="O10" s="305">
        <f t="shared" si="0"/>
        <v>0</v>
      </c>
      <c r="P10" s="306">
        <f t="shared" si="1"/>
        <v>0</v>
      </c>
      <c r="Q10" s="306">
        <f t="shared" si="2"/>
        <v>0</v>
      </c>
    </row>
    <row r="11" spans="1:17" s="1" customFormat="1" x14ac:dyDescent="0.2">
      <c r="A11" s="307" t="s">
        <v>151</v>
      </c>
      <c r="B11" s="292"/>
      <c r="C11" s="293"/>
      <c r="D11" s="294"/>
      <c r="E11" s="308"/>
      <c r="F11" s="308"/>
      <c r="G11" s="308"/>
      <c r="H11" s="308"/>
      <c r="I11" s="309"/>
      <c r="J11" s="309"/>
      <c r="K11" s="309"/>
      <c r="L11" s="309"/>
      <c r="M11" s="309"/>
      <c r="N11" s="309"/>
      <c r="O11" s="297">
        <f t="shared" si="0"/>
        <v>0</v>
      </c>
      <c r="P11" s="310">
        <f t="shared" si="1"/>
        <v>0</v>
      </c>
      <c r="Q11" s="310">
        <f t="shared" si="2"/>
        <v>0</v>
      </c>
    </row>
    <row r="12" spans="1:17" s="1" customFormat="1" x14ac:dyDescent="0.2">
      <c r="A12" s="207" t="s">
        <v>246</v>
      </c>
      <c r="B12" s="227"/>
      <c r="C12" s="228"/>
      <c r="D12" s="253"/>
      <c r="E12" s="44"/>
      <c r="F12" s="44"/>
      <c r="G12" s="44"/>
      <c r="H12" s="44"/>
      <c r="I12" s="210"/>
      <c r="J12" s="210"/>
      <c r="K12" s="210"/>
      <c r="L12" s="210"/>
      <c r="M12" s="210"/>
      <c r="N12" s="210"/>
      <c r="O12" s="280">
        <f t="shared" si="0"/>
        <v>0</v>
      </c>
      <c r="P12" s="39">
        <v>0</v>
      </c>
      <c r="Q12" s="208">
        <f>+P12</f>
        <v>0</v>
      </c>
    </row>
    <row r="13" spans="1:17" s="1" customFormat="1" x14ac:dyDescent="0.2">
      <c r="A13" s="211"/>
      <c r="B13" s="227">
        <v>4840</v>
      </c>
      <c r="C13" s="228">
        <v>4840</v>
      </c>
      <c r="D13" s="253">
        <v>4840</v>
      </c>
      <c r="E13" s="44"/>
      <c r="F13" s="44"/>
      <c r="G13" s="44"/>
      <c r="H13" s="44"/>
      <c r="I13" s="210"/>
      <c r="J13" s="210"/>
      <c r="K13" s="210"/>
      <c r="L13" s="210"/>
      <c r="M13" s="210"/>
      <c r="N13" s="210"/>
      <c r="O13" s="280">
        <f t="shared" si="0"/>
        <v>0</v>
      </c>
      <c r="P13" s="39"/>
      <c r="Q13" s="208">
        <f t="shared" si="2"/>
        <v>0</v>
      </c>
    </row>
    <row r="14" spans="1:17" s="1" customFormat="1" ht="13.5" thickBot="1" x14ac:dyDescent="0.25">
      <c r="A14" s="311" t="s">
        <v>149</v>
      </c>
      <c r="B14" s="312">
        <f>SUM(B13:B13)</f>
        <v>4840</v>
      </c>
      <c r="C14" s="313">
        <f>SUM(C13:C13)</f>
        <v>4840</v>
      </c>
      <c r="D14" s="314">
        <f>SUM(D13:D13)</f>
        <v>4840</v>
      </c>
      <c r="E14" s="315">
        <f>SUM(E13:E13)</f>
        <v>0</v>
      </c>
      <c r="F14" s="316"/>
      <c r="G14" s="315"/>
      <c r="H14" s="315"/>
      <c r="I14" s="317"/>
      <c r="J14" s="317"/>
      <c r="K14" s="317"/>
      <c r="L14" s="317"/>
      <c r="M14" s="317"/>
      <c r="N14" s="317"/>
      <c r="O14" s="318">
        <f t="shared" si="0"/>
        <v>0</v>
      </c>
      <c r="P14" s="319">
        <f t="shared" si="1"/>
        <v>0</v>
      </c>
      <c r="Q14" s="319">
        <f t="shared" si="2"/>
        <v>0</v>
      </c>
    </row>
    <row r="15" spans="1:17" x14ac:dyDescent="0.2">
      <c r="A15" s="320" t="s">
        <v>152</v>
      </c>
      <c r="B15" s="292"/>
      <c r="C15" s="293"/>
      <c r="D15" s="294"/>
      <c r="E15" s="295"/>
      <c r="F15" s="295"/>
      <c r="G15" s="295"/>
      <c r="H15" s="295"/>
      <c r="I15" s="296"/>
      <c r="J15" s="296"/>
      <c r="K15" s="296"/>
      <c r="L15" s="296"/>
      <c r="M15" s="296"/>
      <c r="N15" s="296"/>
      <c r="O15" s="297">
        <f t="shared" si="0"/>
        <v>0</v>
      </c>
      <c r="P15" s="298">
        <f t="shared" si="1"/>
        <v>0</v>
      </c>
      <c r="Q15" s="298">
        <f t="shared" si="2"/>
        <v>0</v>
      </c>
    </row>
    <row r="16" spans="1:17" s="192" customFormat="1" x14ac:dyDescent="0.2">
      <c r="A16" s="207" t="s">
        <v>247</v>
      </c>
      <c r="B16" s="225"/>
      <c r="C16" s="226"/>
      <c r="D16" s="252"/>
      <c r="E16" s="204"/>
      <c r="F16" s="204"/>
      <c r="G16" s="204"/>
      <c r="H16" s="204"/>
      <c r="I16" s="203"/>
      <c r="J16" s="203"/>
      <c r="K16" s="203"/>
      <c r="L16" s="203"/>
      <c r="M16" s="203"/>
      <c r="N16" s="203"/>
      <c r="O16" s="279">
        <f t="shared" si="0"/>
        <v>0</v>
      </c>
      <c r="P16" s="208">
        <v>0</v>
      </c>
      <c r="Q16" s="208">
        <f>+P16</f>
        <v>0</v>
      </c>
    </row>
    <row r="17" spans="1:17" s="192" customFormat="1" ht="12" x14ac:dyDescent="0.2">
      <c r="A17" s="209"/>
      <c r="B17" s="225">
        <v>4240</v>
      </c>
      <c r="C17" s="226">
        <v>4240</v>
      </c>
      <c r="D17" s="252">
        <v>4240</v>
      </c>
      <c r="E17" s="204"/>
      <c r="F17" s="204"/>
      <c r="G17" s="204"/>
      <c r="H17" s="204"/>
      <c r="I17" s="203"/>
      <c r="J17" s="203"/>
      <c r="K17" s="203"/>
      <c r="L17" s="203"/>
      <c r="M17" s="203"/>
      <c r="N17" s="203"/>
      <c r="O17" s="279">
        <f t="shared" si="0"/>
        <v>0</v>
      </c>
      <c r="P17" s="208"/>
      <c r="Q17" s="208">
        <f t="shared" si="2"/>
        <v>0</v>
      </c>
    </row>
    <row r="18" spans="1:17" s="192" customFormat="1" thickBot="1" x14ac:dyDescent="0.25">
      <c r="A18" s="299" t="s">
        <v>149</v>
      </c>
      <c r="B18" s="300">
        <f t="shared" ref="B18:G18" si="3">SUM(B17:B17)</f>
        <v>4240</v>
      </c>
      <c r="C18" s="301">
        <f t="shared" si="3"/>
        <v>4240</v>
      </c>
      <c r="D18" s="302">
        <f t="shared" si="3"/>
        <v>4240</v>
      </c>
      <c r="E18" s="303">
        <f t="shared" si="3"/>
        <v>0</v>
      </c>
      <c r="F18" s="303">
        <f t="shared" si="3"/>
        <v>0</v>
      </c>
      <c r="G18" s="303">
        <f t="shared" si="3"/>
        <v>0</v>
      </c>
      <c r="H18" s="303"/>
      <c r="I18" s="304"/>
      <c r="J18" s="304"/>
      <c r="K18" s="304"/>
      <c r="L18" s="304"/>
      <c r="M18" s="304"/>
      <c r="N18" s="304"/>
      <c r="O18" s="305">
        <f t="shared" si="0"/>
        <v>0</v>
      </c>
      <c r="P18" s="306">
        <f t="shared" si="1"/>
        <v>0</v>
      </c>
      <c r="Q18" s="306">
        <f t="shared" si="2"/>
        <v>0</v>
      </c>
    </row>
    <row r="19" spans="1:17" x14ac:dyDescent="0.2">
      <c r="A19" s="291" t="s">
        <v>153</v>
      </c>
      <c r="B19" s="292"/>
      <c r="C19" s="293"/>
      <c r="D19" s="294"/>
      <c r="E19" s="295"/>
      <c r="F19" s="295"/>
      <c r="G19" s="295"/>
      <c r="H19" s="295"/>
      <c r="I19" s="296"/>
      <c r="J19" s="296"/>
      <c r="K19" s="296"/>
      <c r="L19" s="296"/>
      <c r="M19" s="296"/>
      <c r="N19" s="296"/>
      <c r="O19" s="297">
        <f t="shared" si="0"/>
        <v>0</v>
      </c>
      <c r="P19" s="298">
        <f t="shared" si="1"/>
        <v>0</v>
      </c>
      <c r="Q19" s="298">
        <f t="shared" si="2"/>
        <v>0</v>
      </c>
    </row>
    <row r="20" spans="1:17" x14ac:dyDescent="0.2">
      <c r="A20" s="207" t="s">
        <v>248</v>
      </c>
      <c r="B20" s="227"/>
      <c r="C20" s="228"/>
      <c r="D20" s="253"/>
      <c r="E20" s="38"/>
      <c r="F20" s="38"/>
      <c r="G20" s="38"/>
      <c r="H20" s="38"/>
      <c r="I20" s="205"/>
      <c r="J20" s="205"/>
      <c r="K20" s="205"/>
      <c r="L20" s="205"/>
      <c r="M20" s="205"/>
      <c r="N20" s="205"/>
      <c r="O20" s="280">
        <f t="shared" si="0"/>
        <v>0</v>
      </c>
      <c r="P20" s="206">
        <v>1298</v>
      </c>
      <c r="Q20" s="208">
        <f>+P20</f>
        <v>1298</v>
      </c>
    </row>
    <row r="21" spans="1:17" x14ac:dyDescent="0.2">
      <c r="A21" s="212"/>
      <c r="B21" s="227">
        <v>675</v>
      </c>
      <c r="C21" s="228">
        <v>675</v>
      </c>
      <c r="D21" s="253">
        <v>675</v>
      </c>
      <c r="E21" s="38"/>
      <c r="F21" s="38"/>
      <c r="G21" s="38"/>
      <c r="H21" s="38"/>
      <c r="I21" s="205"/>
      <c r="J21" s="205"/>
      <c r="K21" s="205"/>
      <c r="L21" s="205"/>
      <c r="M21" s="205"/>
      <c r="N21" s="205"/>
      <c r="O21" s="280">
        <f t="shared" si="0"/>
        <v>0</v>
      </c>
      <c r="P21" s="206"/>
      <c r="Q21" s="208">
        <f t="shared" si="2"/>
        <v>0</v>
      </c>
    </row>
    <row r="22" spans="1:17" ht="13.5" thickBot="1" x14ac:dyDescent="0.25">
      <c r="A22" s="299" t="s">
        <v>149</v>
      </c>
      <c r="B22" s="312">
        <f t="shared" ref="B22:H22" si="4">SUM(B21:B21)</f>
        <v>675</v>
      </c>
      <c r="C22" s="313">
        <f t="shared" si="4"/>
        <v>675</v>
      </c>
      <c r="D22" s="314">
        <f t="shared" si="4"/>
        <v>675</v>
      </c>
      <c r="E22" s="321">
        <f t="shared" si="4"/>
        <v>0</v>
      </c>
      <c r="F22" s="321">
        <f t="shared" si="4"/>
        <v>0</v>
      </c>
      <c r="G22" s="321">
        <f t="shared" si="4"/>
        <v>0</v>
      </c>
      <c r="H22" s="321">
        <f t="shared" si="4"/>
        <v>0</v>
      </c>
      <c r="I22" s="322"/>
      <c r="J22" s="322"/>
      <c r="K22" s="322"/>
      <c r="L22" s="322"/>
      <c r="M22" s="322"/>
      <c r="N22" s="322"/>
      <c r="O22" s="318">
        <f t="shared" si="0"/>
        <v>0</v>
      </c>
      <c r="P22" s="323">
        <f t="shared" si="1"/>
        <v>0</v>
      </c>
      <c r="Q22" s="323">
        <f t="shared" si="2"/>
        <v>0</v>
      </c>
    </row>
    <row r="23" spans="1:17" x14ac:dyDescent="0.2">
      <c r="A23" s="324" t="s">
        <v>154</v>
      </c>
      <c r="B23" s="325"/>
      <c r="C23" s="326"/>
      <c r="D23" s="327"/>
      <c r="E23" s="328"/>
      <c r="F23" s="328"/>
      <c r="G23" s="328"/>
      <c r="H23" s="328"/>
      <c r="I23" s="329"/>
      <c r="J23" s="329"/>
      <c r="K23" s="329"/>
      <c r="L23" s="329"/>
      <c r="M23" s="329"/>
      <c r="N23" s="329"/>
      <c r="O23" s="330">
        <f t="shared" si="0"/>
        <v>0</v>
      </c>
      <c r="P23" s="331">
        <f t="shared" si="1"/>
        <v>0</v>
      </c>
      <c r="Q23" s="331">
        <f t="shared" si="2"/>
        <v>0</v>
      </c>
    </row>
    <row r="24" spans="1:17" x14ac:dyDescent="0.2">
      <c r="A24" s="207" t="s">
        <v>249</v>
      </c>
      <c r="B24" s="229">
        <v>0</v>
      </c>
      <c r="C24" s="230">
        <v>17500</v>
      </c>
      <c r="D24" s="254">
        <v>37870</v>
      </c>
      <c r="E24" s="213"/>
      <c r="F24" s="213"/>
      <c r="G24" s="213"/>
      <c r="H24" s="213"/>
      <c r="I24" s="213"/>
      <c r="J24" s="213"/>
      <c r="K24" s="213"/>
      <c r="L24" s="213"/>
      <c r="M24" s="214"/>
      <c r="N24" s="214">
        <v>0</v>
      </c>
      <c r="O24" s="281">
        <f t="shared" si="0"/>
        <v>0</v>
      </c>
      <c r="P24" s="218">
        <v>115838</v>
      </c>
      <c r="Q24" s="208">
        <f>+P24</f>
        <v>115838</v>
      </c>
    </row>
    <row r="25" spans="1:17" ht="13.5" thickBot="1" x14ac:dyDescent="0.25">
      <c r="A25" s="299" t="s">
        <v>149</v>
      </c>
      <c r="B25" s="312">
        <f t="shared" ref="B25:N25" si="5">SUM(B24)</f>
        <v>0</v>
      </c>
      <c r="C25" s="313">
        <f t="shared" si="5"/>
        <v>17500</v>
      </c>
      <c r="D25" s="314">
        <f t="shared" si="5"/>
        <v>37870</v>
      </c>
      <c r="E25" s="321">
        <f t="shared" si="5"/>
        <v>0</v>
      </c>
      <c r="F25" s="321">
        <f t="shared" si="5"/>
        <v>0</v>
      </c>
      <c r="G25" s="321">
        <f t="shared" si="5"/>
        <v>0</v>
      </c>
      <c r="H25" s="321">
        <f t="shared" si="5"/>
        <v>0</v>
      </c>
      <c r="I25" s="321">
        <f t="shared" si="5"/>
        <v>0</v>
      </c>
      <c r="J25" s="321">
        <f t="shared" si="5"/>
        <v>0</v>
      </c>
      <c r="K25" s="321">
        <f t="shared" si="5"/>
        <v>0</v>
      </c>
      <c r="L25" s="321">
        <f t="shared" si="5"/>
        <v>0</v>
      </c>
      <c r="M25" s="321">
        <f t="shared" si="5"/>
        <v>0</v>
      </c>
      <c r="N25" s="321">
        <f t="shared" si="5"/>
        <v>0</v>
      </c>
      <c r="O25" s="318">
        <f t="shared" si="0"/>
        <v>0</v>
      </c>
      <c r="P25" s="323">
        <f t="shared" si="1"/>
        <v>0</v>
      </c>
      <c r="Q25" s="323">
        <f t="shared" si="2"/>
        <v>0</v>
      </c>
    </row>
    <row r="26" spans="1:17" s="171" customFormat="1" x14ac:dyDescent="0.2">
      <c r="A26" s="324" t="s">
        <v>250</v>
      </c>
      <c r="B26" s="332"/>
      <c r="C26" s="333"/>
      <c r="D26" s="334"/>
      <c r="E26" s="335"/>
      <c r="F26" s="335"/>
      <c r="G26" s="335"/>
      <c r="H26" s="335"/>
      <c r="I26" s="335"/>
      <c r="J26" s="335"/>
      <c r="K26" s="335"/>
      <c r="L26" s="335"/>
      <c r="M26" s="335"/>
      <c r="N26" s="336"/>
      <c r="O26" s="337">
        <f t="shared" si="0"/>
        <v>0</v>
      </c>
      <c r="P26" s="338">
        <f t="shared" si="1"/>
        <v>0</v>
      </c>
      <c r="Q26" s="338">
        <f t="shared" si="2"/>
        <v>0</v>
      </c>
    </row>
    <row r="27" spans="1:17" x14ac:dyDescent="0.2">
      <c r="A27" s="207" t="s">
        <v>251</v>
      </c>
      <c r="B27" s="231">
        <v>0</v>
      </c>
      <c r="C27" s="230">
        <v>0</v>
      </c>
      <c r="D27" s="254">
        <v>2625</v>
      </c>
      <c r="E27" s="213"/>
      <c r="F27" s="213"/>
      <c r="G27" s="213"/>
      <c r="H27" s="213"/>
      <c r="I27" s="213"/>
      <c r="J27" s="213"/>
      <c r="K27" s="213"/>
      <c r="L27" s="213"/>
      <c r="M27" s="213"/>
      <c r="N27" s="214"/>
      <c r="O27" s="281">
        <f t="shared" si="0"/>
        <v>0</v>
      </c>
      <c r="P27" s="218">
        <v>28472</v>
      </c>
      <c r="Q27" s="218">
        <f t="shared" si="2"/>
        <v>28472</v>
      </c>
    </row>
    <row r="28" spans="1:17" ht="13.5" thickBot="1" x14ac:dyDescent="0.25">
      <c r="A28" s="299" t="s">
        <v>149</v>
      </c>
      <c r="B28" s="312">
        <f t="shared" ref="B28:N28" si="6">SUM(B27)</f>
        <v>0</v>
      </c>
      <c r="C28" s="313">
        <f t="shared" si="6"/>
        <v>0</v>
      </c>
      <c r="D28" s="314">
        <f t="shared" si="6"/>
        <v>2625</v>
      </c>
      <c r="E28" s="321">
        <f t="shared" si="6"/>
        <v>0</v>
      </c>
      <c r="F28" s="321">
        <f t="shared" si="6"/>
        <v>0</v>
      </c>
      <c r="G28" s="321">
        <f t="shared" si="6"/>
        <v>0</v>
      </c>
      <c r="H28" s="321">
        <f t="shared" si="6"/>
        <v>0</v>
      </c>
      <c r="I28" s="321">
        <f t="shared" si="6"/>
        <v>0</v>
      </c>
      <c r="J28" s="321">
        <f t="shared" si="6"/>
        <v>0</v>
      </c>
      <c r="K28" s="321">
        <f t="shared" si="6"/>
        <v>0</v>
      </c>
      <c r="L28" s="321">
        <f t="shared" si="6"/>
        <v>0</v>
      </c>
      <c r="M28" s="321">
        <f t="shared" si="6"/>
        <v>0</v>
      </c>
      <c r="N28" s="321">
        <f t="shared" si="6"/>
        <v>0</v>
      </c>
      <c r="O28" s="318">
        <f t="shared" si="0"/>
        <v>0</v>
      </c>
      <c r="P28" s="323">
        <f t="shared" si="1"/>
        <v>0</v>
      </c>
      <c r="Q28" s="323">
        <f t="shared" si="2"/>
        <v>0</v>
      </c>
    </row>
    <row r="29" spans="1:17" s="8" customFormat="1" ht="24" customHeight="1" thickBot="1" x14ac:dyDescent="0.25">
      <c r="A29" s="215" t="s">
        <v>155</v>
      </c>
      <c r="B29" s="232">
        <f t="shared" ref="B29:N29" si="7">B6+B10+B14+B18+B22+B25+B28</f>
        <v>31141</v>
      </c>
      <c r="C29" s="233">
        <f t="shared" si="7"/>
        <v>28961</v>
      </c>
      <c r="D29" s="255">
        <f t="shared" si="7"/>
        <v>51957</v>
      </c>
      <c r="E29" s="40">
        <f t="shared" si="7"/>
        <v>0</v>
      </c>
      <c r="F29" s="40">
        <f t="shared" si="7"/>
        <v>0</v>
      </c>
      <c r="G29" s="40">
        <f t="shared" si="7"/>
        <v>0</v>
      </c>
      <c r="H29" s="40">
        <f t="shared" si="7"/>
        <v>0</v>
      </c>
      <c r="I29" s="40">
        <f t="shared" si="7"/>
        <v>0</v>
      </c>
      <c r="J29" s="40">
        <f t="shared" si="7"/>
        <v>0</v>
      </c>
      <c r="K29" s="40">
        <f t="shared" si="7"/>
        <v>0</v>
      </c>
      <c r="L29" s="40">
        <f t="shared" si="7"/>
        <v>0</v>
      </c>
      <c r="M29" s="40">
        <f t="shared" si="7"/>
        <v>0</v>
      </c>
      <c r="N29" s="40">
        <f t="shared" si="7"/>
        <v>0</v>
      </c>
      <c r="O29" s="282">
        <f>+P10+P14+P18+P22+P25+P28</f>
        <v>0</v>
      </c>
      <c r="P29" s="41">
        <f>+P10+P14+P18+P22+P25+P28</f>
        <v>0</v>
      </c>
      <c r="Q29" s="41">
        <f>+Q10+Q14+Q18+Q22+Q25+Q28</f>
        <v>0</v>
      </c>
    </row>
    <row r="38" spans="16:16" x14ac:dyDescent="0.2">
      <c r="P38" s="37"/>
    </row>
  </sheetData>
  <phoneticPr fontId="11" type="noConversion"/>
  <printOptions horizontalCentered="1"/>
  <pageMargins left="0.15748031496062992" right="0.27559055118110237" top="1.61" bottom="0.71" header="0.6" footer="0.19685039370078741"/>
  <pageSetup paperSize="9" scale="83" orientation="landscape" r:id="rId1"/>
  <headerFooter alignWithMargins="0">
    <oddHeader>&amp;L10.sz.melléklet&amp;C&amp;"Arial,Félkövér"&amp;11Nagykovácsi Nagyközség Önkormányzatának
korábbi évek során vállalt kötelezettségek évenkénti hatása
2014. évi költségvetési terv&amp;Radatok eFt-ban</oddHeader>
    <oddFooter>&amp;L&amp;D&amp;C&amp;P&amp;R&amp;F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pageSetUpPr fitToPage="1"/>
  </sheetPr>
  <dimension ref="A1:C7"/>
  <sheetViews>
    <sheetView zoomScaleNormal="100" workbookViewId="0">
      <selection activeCell="C25" sqref="C25"/>
    </sheetView>
  </sheetViews>
  <sheetFormatPr defaultRowHeight="12.75" x14ac:dyDescent="0.2"/>
  <cols>
    <col min="1" max="1" width="67.28515625" style="387" customWidth="1"/>
    <col min="2" max="2" width="18.5703125" style="387" customWidth="1"/>
    <col min="3" max="3" width="17.42578125" style="387" customWidth="1"/>
  </cols>
  <sheetData>
    <row r="1" spans="1:3" ht="15" customHeight="1" x14ac:dyDescent="0.2">
      <c r="A1" s="946" t="s">
        <v>28</v>
      </c>
      <c r="B1" s="948" t="s">
        <v>493</v>
      </c>
      <c r="C1" s="950" t="s">
        <v>494</v>
      </c>
    </row>
    <row r="2" spans="1:3" ht="18" customHeight="1" x14ac:dyDescent="0.2">
      <c r="A2" s="947"/>
      <c r="B2" s="949"/>
      <c r="C2" s="951"/>
    </row>
    <row r="3" spans="1:3" s="1" customFormat="1" x14ac:dyDescent="0.2">
      <c r="A3" s="788"/>
      <c r="B3" s="390"/>
      <c r="C3" s="386"/>
    </row>
    <row r="4" spans="1:3" s="1" customFormat="1" ht="13.5" thickBot="1" x14ac:dyDescent="0.25">
      <c r="A4" s="861" t="s">
        <v>495</v>
      </c>
      <c r="B4" s="389">
        <v>0</v>
      </c>
      <c r="C4" s="386">
        <v>0</v>
      </c>
    </row>
    <row r="5" spans="1:3" s="1" customFormat="1" ht="13.5" thickBot="1" x14ac:dyDescent="0.25">
      <c r="A5" s="391" t="s">
        <v>117</v>
      </c>
      <c r="B5" s="392">
        <f>SUM(B3:B4)</f>
        <v>0</v>
      </c>
      <c r="C5" s="393">
        <f>SUM(C3:C4)</f>
        <v>0</v>
      </c>
    </row>
    <row r="6" spans="1:3" s="1" customFormat="1" x14ac:dyDescent="0.2">
      <c r="A6" s="394"/>
      <c r="B6" s="394"/>
      <c r="C6" s="394"/>
    </row>
    <row r="7" spans="1:3" x14ac:dyDescent="0.2">
      <c r="C7" s="388"/>
    </row>
  </sheetData>
  <mergeCells count="3">
    <mergeCell ref="A1:A2"/>
    <mergeCell ref="B1:B2"/>
    <mergeCell ref="C1:C2"/>
  </mergeCells>
  <phoneticPr fontId="11" type="noConversion"/>
  <printOptions horizontalCentered="1"/>
  <pageMargins left="0.6692913385826772" right="0.6692913385826772" top="1.3779527559055118" bottom="0.98425196850393704" header="0.47244094488188981" footer="0.51181102362204722"/>
  <pageSetup paperSize="9" orientation="landscape" r:id="rId1"/>
  <headerFooter alignWithMargins="0">
    <oddHeader>&amp;L11.sz.melléklet&amp;C&amp;"Arial,Félkövér"&amp;11Nagykovácsi Nagyközség Önkormányzatának
Európai Unios támogatással megvalósuló projektek
bevételei-kiadásai a 2017. évben&amp;Radatok eFt-ban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  <pageSetUpPr fitToPage="1"/>
  </sheetPr>
  <dimension ref="A1:G42"/>
  <sheetViews>
    <sheetView zoomScaleNormal="100" zoomScaleSheetLayoutView="100" workbookViewId="0">
      <selection activeCell="B13" sqref="B13"/>
    </sheetView>
  </sheetViews>
  <sheetFormatPr defaultColWidth="9" defaultRowHeight="14.25" x14ac:dyDescent="0.2"/>
  <cols>
    <col min="1" max="1" width="79.140625" style="235" customWidth="1"/>
    <col min="2" max="2" width="14.28515625" style="235" bestFit="1" customWidth="1"/>
    <col min="3" max="3" width="53.28515625" style="235" customWidth="1"/>
    <col min="4" max="4" width="14.28515625" style="235" bestFit="1" customWidth="1"/>
    <col min="5" max="5" width="12.28515625" style="235" bestFit="1" customWidth="1"/>
    <col min="6" max="6" width="9" style="235"/>
    <col min="7" max="7" width="9" style="236"/>
    <col min="8" max="16384" width="9" style="234"/>
  </cols>
  <sheetData>
    <row r="1" spans="1:5" x14ac:dyDescent="0.2">
      <c r="A1" s="952" t="s">
        <v>283</v>
      </c>
      <c r="B1" s="952"/>
      <c r="C1" s="952"/>
      <c r="D1" s="952"/>
      <c r="E1" s="256"/>
    </row>
    <row r="2" spans="1:5" x14ac:dyDescent="0.2">
      <c r="A2" s="952" t="s">
        <v>284</v>
      </c>
      <c r="B2" s="952"/>
      <c r="C2" s="952"/>
      <c r="D2" s="952"/>
      <c r="E2" s="256"/>
    </row>
    <row r="3" spans="1:5" x14ac:dyDescent="0.2">
      <c r="A3" s="952" t="s">
        <v>282</v>
      </c>
      <c r="B3" s="952"/>
      <c r="C3" s="952"/>
      <c r="D3" s="952"/>
      <c r="E3" s="256"/>
    </row>
    <row r="4" spans="1:5" ht="15" x14ac:dyDescent="0.25">
      <c r="A4" s="271"/>
      <c r="B4" s="271"/>
      <c r="C4" s="271"/>
      <c r="D4" s="271"/>
      <c r="E4" s="256"/>
    </row>
    <row r="5" spans="1:5" ht="15" x14ac:dyDescent="0.25">
      <c r="A5" s="271"/>
      <c r="B5" s="271"/>
      <c r="C5" s="271"/>
      <c r="D5" s="271"/>
      <c r="E5" s="256"/>
    </row>
    <row r="6" spans="1:5" ht="28.5" x14ac:dyDescent="0.2">
      <c r="A6" s="704" t="s">
        <v>3</v>
      </c>
      <c r="B6" s="705" t="s">
        <v>291</v>
      </c>
      <c r="C6" s="706" t="s">
        <v>3</v>
      </c>
      <c r="D6" s="707" t="s">
        <v>291</v>
      </c>
      <c r="E6" s="256"/>
    </row>
    <row r="7" spans="1:5" x14ac:dyDescent="0.2">
      <c r="A7" s="708" t="s">
        <v>17</v>
      </c>
      <c r="B7" s="708">
        <f>B8+B9+B10+B11</f>
        <v>1011992</v>
      </c>
      <c r="C7" s="440" t="s">
        <v>160</v>
      </c>
      <c r="D7" s="440">
        <f>D8+D9+D10+D11</f>
        <v>54014</v>
      </c>
      <c r="E7" s="256"/>
    </row>
    <row r="8" spans="1:5" ht="15" customHeight="1" x14ac:dyDescent="0.25">
      <c r="A8" s="709" t="str">
        <f>+'3. sz. m._kiadások-bevételek'!A9</f>
        <v>1. Működési célú támogatások államháztartáson belülről</v>
      </c>
      <c r="B8" s="346">
        <f>+'3. sz. m._kiadások-bevételek'!N9</f>
        <v>493862</v>
      </c>
      <c r="C8" s="448"/>
      <c r="D8" s="442"/>
      <c r="E8" s="256"/>
    </row>
    <row r="9" spans="1:5" ht="15" customHeight="1" x14ac:dyDescent="0.25">
      <c r="A9" s="709" t="str">
        <f>+'3. sz. m._kiadások-bevételek'!A12</f>
        <v xml:space="preserve">2. Közhatalmi bevételek  </v>
      </c>
      <c r="B9" s="346">
        <f>+'3. sz. m._kiadások-bevételek'!N12</f>
        <v>438666</v>
      </c>
      <c r="C9" s="448" t="str">
        <f>+'3. sz. m._kiadások-bevételek'!A20</f>
        <v>1.Felhalmozási célú támogatások államháztartáson belülről</v>
      </c>
      <c r="D9" s="443">
        <f>+'3. sz. m._kiadások-bevételek'!N20</f>
        <v>54014</v>
      </c>
      <c r="E9" s="256"/>
    </row>
    <row r="10" spans="1:5" ht="15" x14ac:dyDescent="0.25">
      <c r="A10" s="709" t="str">
        <f>+'3. sz. m._kiadások-bevételek'!A16</f>
        <v>3. Működési bevételek</v>
      </c>
      <c r="B10" s="346">
        <f>+'3. sz. m._kiadások-bevételek'!N16</f>
        <v>79464</v>
      </c>
      <c r="C10" s="448" t="str">
        <f>+'3. sz. m._kiadások-bevételek'!A23</f>
        <v>2. Felhalmozási bevételek</v>
      </c>
      <c r="D10" s="443">
        <f>+'3. sz. m._kiadások-bevételek'!N23</f>
        <v>0</v>
      </c>
      <c r="E10" s="256"/>
    </row>
    <row r="11" spans="1:5" ht="15" x14ac:dyDescent="0.25">
      <c r="A11" s="709" t="str">
        <f>+'3. sz. m._kiadások-bevételek'!A17</f>
        <v>4. Működési célú átvett pénzeszközök</v>
      </c>
      <c r="B11" s="346">
        <f>+'3. sz. m._kiadások-bevételek'!N17</f>
        <v>0</v>
      </c>
      <c r="C11" s="448" t="str">
        <f>+'3. sz. m._kiadások-bevételek'!A26</f>
        <v>3. Felhalmozási célú átvett pénzeszközök</v>
      </c>
      <c r="D11" s="443">
        <f>+'3. sz. m._kiadások-bevételek'!N26</f>
        <v>0</v>
      </c>
      <c r="E11" s="256"/>
    </row>
    <row r="12" spans="1:5" ht="15" x14ac:dyDescent="0.25">
      <c r="A12" s="710" t="s">
        <v>452</v>
      </c>
      <c r="B12" s="346">
        <f>+'3. sz. m._kiadások-bevételek'!D33</f>
        <v>138802</v>
      </c>
      <c r="C12" s="438"/>
      <c r="D12" s="711"/>
      <c r="E12" s="256"/>
    </row>
    <row r="13" spans="1:5" x14ac:dyDescent="0.2">
      <c r="A13" s="712" t="s">
        <v>161</v>
      </c>
      <c r="B13" s="441">
        <f>+B7+B12</f>
        <v>1150794</v>
      </c>
      <c r="C13" s="435" t="s">
        <v>162</v>
      </c>
      <c r="D13" s="713">
        <f>+D7+D12</f>
        <v>54014</v>
      </c>
      <c r="E13" s="256"/>
    </row>
    <row r="14" spans="1:5" x14ac:dyDescent="0.2">
      <c r="A14" s="714" t="s">
        <v>134</v>
      </c>
      <c r="B14" s="434">
        <f>+'3. sz. m._kiadások-bevételek'!F34+'3. sz. m._kiadások-bevételek'!H34+'3. sz. m._kiadások-bevételek'!J34+'3. sz. m._kiadások-bevételek'!L34</f>
        <v>614997</v>
      </c>
      <c r="C14" s="437" t="s">
        <v>134</v>
      </c>
      <c r="D14" s="715"/>
      <c r="E14" s="256"/>
    </row>
    <row r="15" spans="1:5" x14ac:dyDescent="0.2">
      <c r="A15" s="716" t="s">
        <v>163</v>
      </c>
      <c r="B15" s="444">
        <f>SUM(B13:B14)</f>
        <v>1765791</v>
      </c>
      <c r="C15" s="445" t="s">
        <v>164</v>
      </c>
      <c r="D15" s="717">
        <f>SUM(D13:D14)</f>
        <v>54014</v>
      </c>
      <c r="E15" s="256"/>
    </row>
    <row r="16" spans="1:5" ht="15" x14ac:dyDescent="0.25">
      <c r="A16" s="718" t="s">
        <v>165</v>
      </c>
      <c r="B16" s="443"/>
      <c r="C16" s="447" t="s">
        <v>166</v>
      </c>
      <c r="D16" s="443"/>
      <c r="E16" s="256"/>
    </row>
    <row r="17" spans="1:7" ht="15" x14ac:dyDescent="0.25">
      <c r="A17" s="709" t="str">
        <f>+'3. sz. m._kiadások-bevételek'!A44</f>
        <v>1. Személyi juttatások</v>
      </c>
      <c r="B17" s="346">
        <f>+'3. sz. m._kiadások-bevételek'!N44</f>
        <v>426791</v>
      </c>
      <c r="C17" s="448" t="str">
        <f>+'3. sz. m._kiadások-bevételek'!A53</f>
        <v>1. Beruházások</v>
      </c>
      <c r="D17" s="443">
        <f>+'3. sz. m._kiadások-bevételek'!N53</f>
        <v>41692</v>
      </c>
      <c r="E17" s="256"/>
    </row>
    <row r="18" spans="1:7" ht="15" x14ac:dyDescent="0.25">
      <c r="A18" s="709" t="str">
        <f>+'3. sz. m._kiadások-bevételek'!A45</f>
        <v>2. Munkaadókat terhelő járulékok és szociális hozzájárulási adó</v>
      </c>
      <c r="B18" s="346">
        <f>+'3. sz. m._kiadások-bevételek'!N45</f>
        <v>98824</v>
      </c>
      <c r="C18" s="448"/>
      <c r="D18" s="443"/>
      <c r="E18" s="256"/>
    </row>
    <row r="19" spans="1:7" ht="15" x14ac:dyDescent="0.25">
      <c r="A19" s="709" t="str">
        <f>+'3. sz. m._kiadások-bevételek'!A46</f>
        <v>3. Dologi  kiadások</v>
      </c>
      <c r="B19" s="346">
        <f>+'3. sz. m._kiadások-bevételek'!N46</f>
        <v>421574</v>
      </c>
      <c r="C19" s="448"/>
      <c r="D19" s="443"/>
      <c r="E19" s="270"/>
    </row>
    <row r="20" spans="1:7" ht="15" x14ac:dyDescent="0.25">
      <c r="A20" s="709" t="str">
        <f>+'3. sz. m._kiadások-bevételek'!A47</f>
        <v>4. Ellátottak pénzbeli juttatásai</v>
      </c>
      <c r="B20" s="346">
        <f>+'3. sz. m._kiadások-bevételek'!N47</f>
        <v>36898</v>
      </c>
      <c r="C20" s="448"/>
      <c r="D20" s="443"/>
      <c r="E20" s="270"/>
    </row>
    <row r="21" spans="1:7" ht="15" x14ac:dyDescent="0.25">
      <c r="A21" s="709" t="str">
        <f>+'3. sz. m._kiadások-bevételek'!A48</f>
        <v>5. Egyéb működési célú kiadások</v>
      </c>
      <c r="B21" s="346">
        <f>+'3. sz. m._kiadások-bevételek'!N48</f>
        <v>165638</v>
      </c>
      <c r="C21" s="448"/>
      <c r="D21" s="443"/>
      <c r="E21" s="270"/>
    </row>
    <row r="22" spans="1:7" x14ac:dyDescent="0.2">
      <c r="A22" s="712" t="s">
        <v>169</v>
      </c>
      <c r="B22" s="441">
        <f>SUM(B17:B21)</f>
        <v>1149725</v>
      </c>
      <c r="C22" s="446" t="s">
        <v>170</v>
      </c>
      <c r="D22" s="713">
        <f>SUM(D17:D21)</f>
        <v>41692</v>
      </c>
      <c r="E22" s="256"/>
    </row>
    <row r="23" spans="1:7" x14ac:dyDescent="0.2">
      <c r="A23" s="714" t="s">
        <v>134</v>
      </c>
      <c r="B23" s="436">
        <f>+'3. sz. m._kiadások-bevételek'!N63</f>
        <v>614997</v>
      </c>
      <c r="C23" s="437" t="s">
        <v>134</v>
      </c>
      <c r="D23" s="715"/>
      <c r="E23" s="256"/>
    </row>
    <row r="24" spans="1:7" s="457" customFormat="1" x14ac:dyDescent="0.2">
      <c r="A24" s="719"/>
      <c r="B24" s="452"/>
      <c r="C24" s="453"/>
      <c r="D24" s="720"/>
      <c r="E24" s="454"/>
      <c r="F24" s="455"/>
      <c r="G24" s="456"/>
    </row>
    <row r="25" spans="1:7" x14ac:dyDescent="0.2">
      <c r="A25" s="721" t="s">
        <v>278</v>
      </c>
      <c r="B25" s="460">
        <f>SUM(B22:B23)</f>
        <v>1764722</v>
      </c>
      <c r="C25" s="461" t="s">
        <v>279</v>
      </c>
      <c r="D25" s="722">
        <f>D22+D23</f>
        <v>41692</v>
      </c>
      <c r="E25" s="256"/>
      <c r="F25" s="449"/>
    </row>
    <row r="26" spans="1:7" ht="15" thickBot="1" x14ac:dyDescent="0.25">
      <c r="A26" s="723" t="s">
        <v>280</v>
      </c>
      <c r="B26" s="463">
        <f>B25-B23</f>
        <v>1149725</v>
      </c>
      <c r="C26" s="462" t="s">
        <v>281</v>
      </c>
      <c r="D26" s="724">
        <f>D25-D23</f>
        <v>41692</v>
      </c>
      <c r="E26" s="256"/>
    </row>
    <row r="27" spans="1:7" s="457" customFormat="1" ht="15.75" thickBot="1" x14ac:dyDescent="0.3">
      <c r="A27" s="725"/>
      <c r="B27" s="458"/>
      <c r="C27" s="459"/>
      <c r="D27" s="726"/>
      <c r="E27" s="454"/>
      <c r="F27" s="455"/>
      <c r="G27" s="456"/>
    </row>
    <row r="28" spans="1:7" x14ac:dyDescent="0.2">
      <c r="A28" s="727" t="s">
        <v>214</v>
      </c>
      <c r="B28" s="269" t="s">
        <v>215</v>
      </c>
      <c r="C28" s="269"/>
      <c r="D28" s="728" t="s">
        <v>215</v>
      </c>
      <c r="E28" s="256"/>
    </row>
    <row r="29" spans="1:7" ht="15" x14ac:dyDescent="0.25">
      <c r="A29" s="438" t="s">
        <v>277</v>
      </c>
      <c r="B29" s="346">
        <f>B13</f>
        <v>1150794</v>
      </c>
      <c r="C29" s="438" t="s">
        <v>216</v>
      </c>
      <c r="D29" s="346">
        <f>B22</f>
        <v>1149725</v>
      </c>
      <c r="E29" s="270"/>
    </row>
    <row r="30" spans="1:7" ht="15" x14ac:dyDescent="0.25">
      <c r="A30" s="438" t="s">
        <v>276</v>
      </c>
      <c r="B30" s="346">
        <f>D13</f>
        <v>54014</v>
      </c>
      <c r="C30" s="438" t="s">
        <v>217</v>
      </c>
      <c r="D30" s="346">
        <f>D22</f>
        <v>41692</v>
      </c>
      <c r="E30" s="270"/>
    </row>
    <row r="31" spans="1:7" ht="15" x14ac:dyDescent="0.25">
      <c r="A31" s="438" t="s">
        <v>218</v>
      </c>
      <c r="B31" s="347">
        <f>+B14+D14</f>
        <v>614997</v>
      </c>
      <c r="C31" s="438" t="s">
        <v>218</v>
      </c>
      <c r="D31" s="346">
        <f>+B31</f>
        <v>614997</v>
      </c>
      <c r="E31" s="270"/>
    </row>
    <row r="32" spans="1:7" ht="15" x14ac:dyDescent="0.25">
      <c r="A32" s="450" t="s">
        <v>219</v>
      </c>
      <c r="B32" s="451">
        <f>SUM(B29:B31)</f>
        <v>1819805</v>
      </c>
      <c r="C32" s="450" t="s">
        <v>220</v>
      </c>
      <c r="D32" s="451">
        <f>SUM(D29:D31)</f>
        <v>1806414</v>
      </c>
      <c r="E32" s="270"/>
    </row>
    <row r="33" spans="1:5" ht="15" x14ac:dyDescent="0.25">
      <c r="A33" s="438" t="s">
        <v>221</v>
      </c>
      <c r="B33" s="346">
        <f>+B14+D14</f>
        <v>614997</v>
      </c>
      <c r="C33" s="438" t="s">
        <v>222</v>
      </c>
      <c r="D33" s="346">
        <f>+B33</f>
        <v>614997</v>
      </c>
      <c r="E33" s="256"/>
    </row>
    <row r="34" spans="1:5" ht="15" x14ac:dyDescent="0.25">
      <c r="A34" s="740" t="s">
        <v>223</v>
      </c>
      <c r="B34" s="741">
        <f>B32-B33-0.5</f>
        <v>1204807.5</v>
      </c>
      <c r="C34" s="740" t="s">
        <v>224</v>
      </c>
      <c r="D34" s="741">
        <f>D32-D33-0.5</f>
        <v>1191416.5</v>
      </c>
      <c r="E34" s="256"/>
    </row>
    <row r="35" spans="1:5" ht="15" x14ac:dyDescent="0.25">
      <c r="A35" s="271"/>
      <c r="B35" s="439"/>
      <c r="C35" s="271"/>
      <c r="D35" s="271"/>
      <c r="E35" s="256"/>
    </row>
    <row r="36" spans="1:5" ht="15" x14ac:dyDescent="0.25">
      <c r="A36" s="271"/>
      <c r="B36" s="439"/>
      <c r="C36" s="271"/>
      <c r="D36" s="271"/>
      <c r="E36" s="256"/>
    </row>
    <row r="37" spans="1:5" x14ac:dyDescent="0.2">
      <c r="E37" s="256"/>
    </row>
    <row r="38" spans="1:5" x14ac:dyDescent="0.2">
      <c r="E38" s="256"/>
    </row>
    <row r="39" spans="1:5" x14ac:dyDescent="0.2">
      <c r="E39" s="256"/>
    </row>
    <row r="40" spans="1:5" x14ac:dyDescent="0.2">
      <c r="E40" s="256"/>
    </row>
    <row r="41" spans="1:5" x14ac:dyDescent="0.2">
      <c r="E41" s="256"/>
    </row>
    <row r="42" spans="1:5" x14ac:dyDescent="0.2">
      <c r="E42" s="256"/>
    </row>
  </sheetData>
  <mergeCells count="3">
    <mergeCell ref="A1:D1"/>
    <mergeCell ref="A2:D2"/>
    <mergeCell ref="A3:D3"/>
  </mergeCells>
  <phoneticPr fontId="51" type="noConversion"/>
  <printOptions horizontalCentered="1"/>
  <pageMargins left="1.1399999999999999" right="0.39374999999999999" top="0.69" bottom="0.59027777777777779" header="0.51180555555555562" footer="0.38"/>
  <pageSetup paperSize="9" scale="82" firstPageNumber="28" orientation="landscape" useFirstPageNumber="1" horizontalDpi="300" verticalDpi="300" r:id="rId1"/>
  <headerFooter alignWithMargins="0">
    <oddHeader>&amp;L13.sz. melléklet&amp;Radatok ezer Ft-ban</oddHeader>
    <oddFooter>&amp;L&amp;D&amp;R&amp;F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2"/>
  <sheetViews>
    <sheetView zoomScaleNormal="100" workbookViewId="0">
      <selection activeCell="D31" sqref="D31"/>
    </sheetView>
  </sheetViews>
  <sheetFormatPr defaultRowHeight="12.75" x14ac:dyDescent="0.2"/>
  <cols>
    <col min="1" max="1" width="64" customWidth="1"/>
    <col min="2" max="2" width="27.42578125" customWidth="1"/>
  </cols>
  <sheetData>
    <row r="1" spans="1:2" s="43" customFormat="1" ht="30" customHeight="1" thickBot="1" x14ac:dyDescent="0.3">
      <c r="A1" s="72" t="s">
        <v>3</v>
      </c>
      <c r="B1" s="259" t="s">
        <v>49</v>
      </c>
    </row>
    <row r="2" spans="1:2" ht="15" customHeight="1" x14ac:dyDescent="0.2">
      <c r="A2" s="73" t="s">
        <v>50</v>
      </c>
      <c r="B2" s="342">
        <v>0</v>
      </c>
    </row>
    <row r="3" spans="1:2" ht="15" customHeight="1" x14ac:dyDescent="0.2">
      <c r="A3" s="35" t="s">
        <v>51</v>
      </c>
      <c r="B3" s="340">
        <v>0</v>
      </c>
    </row>
    <row r="4" spans="1:2" s="2" customFormat="1" ht="17.100000000000001" customHeight="1" thickBot="1" x14ac:dyDescent="0.3">
      <c r="A4" s="74" t="s">
        <v>156</v>
      </c>
      <c r="B4" s="341">
        <f>SUM(B2:B3)</f>
        <v>0</v>
      </c>
    </row>
    <row r="5" spans="1:2" ht="15" customHeight="1" x14ac:dyDescent="0.2">
      <c r="A5" s="73" t="s">
        <v>52</v>
      </c>
      <c r="B5" s="342">
        <v>0</v>
      </c>
    </row>
    <row r="6" spans="1:2" ht="15" customHeight="1" x14ac:dyDescent="0.2">
      <c r="A6" s="35" t="s">
        <v>53</v>
      </c>
      <c r="B6" s="39">
        <v>0</v>
      </c>
    </row>
    <row r="7" spans="1:2" s="2" customFormat="1" ht="17.100000000000001" customHeight="1" thickBot="1" x14ac:dyDescent="0.3">
      <c r="A7" s="74" t="s">
        <v>157</v>
      </c>
      <c r="B7" s="341">
        <f>SUM(B5:B6)</f>
        <v>0</v>
      </c>
    </row>
    <row r="8" spans="1:2" s="8" customFormat="1" ht="15" customHeight="1" x14ac:dyDescent="0.2">
      <c r="A8" s="75" t="s">
        <v>54</v>
      </c>
      <c r="B8" s="343">
        <f>SUM(B7,B9,B12)</f>
        <v>30222</v>
      </c>
    </row>
    <row r="9" spans="1:2" s="77" customFormat="1" ht="15" customHeight="1" x14ac:dyDescent="0.2">
      <c r="A9" s="76" t="s">
        <v>55</v>
      </c>
      <c r="B9" s="344">
        <f>SUM(B10:B11)</f>
        <v>126</v>
      </c>
    </row>
    <row r="10" spans="1:2" ht="15" customHeight="1" x14ac:dyDescent="0.2">
      <c r="A10" s="35" t="s">
        <v>56</v>
      </c>
      <c r="B10" s="39">
        <v>126</v>
      </c>
    </row>
    <row r="11" spans="1:2" ht="15" customHeight="1" x14ac:dyDescent="0.2">
      <c r="A11" s="35" t="s">
        <v>57</v>
      </c>
      <c r="B11" s="39">
        <v>0</v>
      </c>
    </row>
    <row r="12" spans="1:2" s="77" customFormat="1" ht="15" customHeight="1" x14ac:dyDescent="0.2">
      <c r="A12" s="76" t="s">
        <v>58</v>
      </c>
      <c r="B12" s="344">
        <f>SUM(B13:B14)</f>
        <v>30096</v>
      </c>
    </row>
    <row r="13" spans="1:2" ht="15" customHeight="1" x14ac:dyDescent="0.2">
      <c r="A13" s="35" t="s">
        <v>59</v>
      </c>
      <c r="B13" s="39">
        <v>30096</v>
      </c>
    </row>
    <row r="14" spans="1:2" ht="15" customHeight="1" x14ac:dyDescent="0.2">
      <c r="A14" s="35" t="s">
        <v>60</v>
      </c>
      <c r="B14" s="39">
        <v>0</v>
      </c>
    </row>
    <row r="15" spans="1:2" ht="15" customHeight="1" x14ac:dyDescent="0.2">
      <c r="A15" s="66" t="s">
        <v>61</v>
      </c>
      <c r="B15" s="837">
        <v>3346</v>
      </c>
    </row>
    <row r="16" spans="1:2" ht="17.100000000000001" customHeight="1" thickBot="1" x14ac:dyDescent="0.3">
      <c r="A16" s="74" t="s">
        <v>158</v>
      </c>
      <c r="B16" s="341">
        <f>SUM(B8,B15)</f>
        <v>33568</v>
      </c>
    </row>
    <row r="17" spans="1:2" ht="15" customHeight="1" x14ac:dyDescent="0.2">
      <c r="A17" s="73" t="s">
        <v>62</v>
      </c>
      <c r="B17" s="342">
        <v>0</v>
      </c>
    </row>
    <row r="18" spans="1:2" ht="15" customHeight="1" x14ac:dyDescent="0.2">
      <c r="A18" s="35" t="s">
        <v>63</v>
      </c>
      <c r="B18" s="39">
        <v>0</v>
      </c>
    </row>
    <row r="19" spans="1:2" s="2" customFormat="1" ht="17.100000000000001" customHeight="1" thickBot="1" x14ac:dyDescent="0.3">
      <c r="A19" s="74" t="s">
        <v>159</v>
      </c>
      <c r="B19" s="341">
        <f>SUM(B17:B18)</f>
        <v>0</v>
      </c>
    </row>
    <row r="20" spans="1:2" ht="15" customHeight="1" x14ac:dyDescent="0.2">
      <c r="A20" s="73" t="s">
        <v>64</v>
      </c>
      <c r="B20" s="342">
        <v>0</v>
      </c>
    </row>
    <row r="21" spans="1:2" ht="17.100000000000001" customHeight="1" thickBot="1" x14ac:dyDescent="0.3">
      <c r="A21" s="74" t="s">
        <v>158</v>
      </c>
      <c r="B21" s="341">
        <f>SUM(B20)</f>
        <v>0</v>
      </c>
    </row>
    <row r="22" spans="1:2" s="79" customFormat="1" ht="30" customHeight="1" thickBot="1" x14ac:dyDescent="0.3">
      <c r="A22" s="78" t="s">
        <v>65</v>
      </c>
      <c r="B22" s="345">
        <f>SUM(B4,B7,B16,B19,B21)</f>
        <v>33568</v>
      </c>
    </row>
    <row r="23" spans="1:2" x14ac:dyDescent="0.2">
      <c r="B23" s="37"/>
    </row>
    <row r="24" spans="1:2" x14ac:dyDescent="0.2">
      <c r="B24" s="37"/>
    </row>
    <row r="25" spans="1:2" x14ac:dyDescent="0.2">
      <c r="B25" s="37"/>
    </row>
    <row r="26" spans="1:2" x14ac:dyDescent="0.2">
      <c r="B26" s="37"/>
    </row>
    <row r="27" spans="1:2" x14ac:dyDescent="0.2">
      <c r="B27" s="37"/>
    </row>
    <row r="28" spans="1:2" x14ac:dyDescent="0.2">
      <c r="B28" s="37"/>
    </row>
    <row r="29" spans="1:2" x14ac:dyDescent="0.2">
      <c r="B29" s="37"/>
    </row>
    <row r="30" spans="1:2" x14ac:dyDescent="0.2">
      <c r="B30" s="37"/>
    </row>
    <row r="31" spans="1:2" x14ac:dyDescent="0.2">
      <c r="B31" s="37"/>
    </row>
    <row r="32" spans="1:2" x14ac:dyDescent="0.2">
      <c r="B32" s="37"/>
    </row>
  </sheetData>
  <phoneticPr fontId="11" type="noConversion"/>
  <printOptions horizontalCentered="1" verticalCentered="1"/>
  <pageMargins left="0.47244094488188981" right="0.47244094488188981" top="1.3779527559055118" bottom="1.2598425196850394" header="1.1023622047244095" footer="0.78740157480314965"/>
  <pageSetup paperSize="9" orientation="landscape" r:id="rId1"/>
  <headerFooter alignWithMargins="0">
    <oddHeader>&amp;L12.sz.melléklet&amp;C&amp;"Arial,Félkövér"&amp;12Nagykovácsi Nagyközség Önkormányzat,
2017. évi közvetett támogatások&amp;Rezer Ft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/>
  <dimension ref="A1:Q30"/>
  <sheetViews>
    <sheetView zoomScale="90" zoomScaleNormal="90" workbookViewId="0">
      <selection activeCell="R14" sqref="R14"/>
    </sheetView>
  </sheetViews>
  <sheetFormatPr defaultRowHeight="12.75" x14ac:dyDescent="0.2"/>
  <cols>
    <col min="1" max="1" width="12.5703125" style="375" customWidth="1"/>
    <col min="2" max="2" width="77.28515625" style="375" customWidth="1"/>
    <col min="3" max="5" width="16.7109375" style="375" customWidth="1"/>
    <col min="6" max="6" width="16.7109375" hidden="1" customWidth="1"/>
    <col min="7" max="9" width="16.7109375" style="375" customWidth="1"/>
  </cols>
  <sheetData>
    <row r="1" spans="1:9" s="1" customFormat="1" ht="16.5" thickBot="1" x14ac:dyDescent="0.3">
      <c r="A1" s="838"/>
      <c r="B1" s="839"/>
      <c r="C1" s="839"/>
      <c r="D1" s="839"/>
      <c r="E1" s="839"/>
      <c r="G1" s="11"/>
      <c r="H1" s="11"/>
      <c r="I1" s="11"/>
    </row>
    <row r="2" spans="1:9" s="841" customFormat="1" ht="15.75" customHeight="1" x14ac:dyDescent="0.2">
      <c r="A2" s="953"/>
      <c r="B2" s="840" t="s">
        <v>3</v>
      </c>
      <c r="C2" s="956" t="s">
        <v>67</v>
      </c>
      <c r="D2" s="957"/>
      <c r="E2" s="957"/>
      <c r="F2" s="957"/>
      <c r="G2" s="957"/>
      <c r="H2" s="957"/>
      <c r="I2" s="958"/>
    </row>
    <row r="3" spans="1:9" s="841" customFormat="1" ht="13.5" thickBot="1" x14ac:dyDescent="0.25">
      <c r="A3" s="954"/>
      <c r="B3" s="842"/>
      <c r="C3" s="959" t="s">
        <v>21</v>
      </c>
      <c r="D3" s="960"/>
      <c r="E3" s="960"/>
      <c r="F3" s="960"/>
      <c r="G3" s="960"/>
      <c r="H3" s="960"/>
      <c r="I3" s="961"/>
    </row>
    <row r="4" spans="1:9" s="841" customFormat="1" ht="52.5" customHeight="1" thickBot="1" x14ac:dyDescent="0.25">
      <c r="A4" s="955"/>
      <c r="B4" s="843"/>
      <c r="C4" s="844" t="s">
        <v>69</v>
      </c>
      <c r="D4" s="844" t="s">
        <v>145</v>
      </c>
      <c r="E4" s="845" t="s">
        <v>175</v>
      </c>
      <c r="F4" s="845" t="s">
        <v>43</v>
      </c>
      <c r="G4" s="844" t="s">
        <v>70</v>
      </c>
      <c r="H4" s="845" t="s">
        <v>290</v>
      </c>
      <c r="I4" s="844" t="s">
        <v>4</v>
      </c>
    </row>
    <row r="5" spans="1:9" s="841" customFormat="1" ht="18" customHeight="1" thickBot="1" x14ac:dyDescent="0.25">
      <c r="A5" s="846">
        <v>1</v>
      </c>
      <c r="B5" s="847">
        <v>2</v>
      </c>
      <c r="C5" s="848">
        <v>3</v>
      </c>
      <c r="D5" s="848">
        <v>4</v>
      </c>
      <c r="E5" s="847">
        <v>5</v>
      </c>
      <c r="F5" s="847">
        <v>6</v>
      </c>
      <c r="G5" s="848">
        <v>7</v>
      </c>
      <c r="H5" s="848"/>
      <c r="I5" s="848">
        <v>8</v>
      </c>
    </row>
    <row r="6" spans="1:9" s="1" customFormat="1" ht="18" customHeight="1" thickBot="1" x14ac:dyDescent="0.25">
      <c r="A6" s="87"/>
      <c r="B6" s="88" t="s">
        <v>482</v>
      </c>
      <c r="C6" s="378"/>
      <c r="D6" s="381">
        <v>1</v>
      </c>
      <c r="E6" s="90"/>
      <c r="F6" s="370"/>
      <c r="G6" s="381"/>
      <c r="H6" s="381"/>
      <c r="I6" s="382"/>
    </row>
    <row r="7" spans="1:9" s="1" customFormat="1" ht="18" customHeight="1" thickBot="1" x14ac:dyDescent="0.25">
      <c r="A7" s="87"/>
      <c r="B7" s="859" t="s">
        <v>492</v>
      </c>
      <c r="C7" s="378"/>
      <c r="D7" s="381">
        <v>2</v>
      </c>
      <c r="E7" s="90"/>
      <c r="F7" s="370"/>
      <c r="G7" s="381"/>
      <c r="H7" s="381"/>
      <c r="I7" s="382"/>
    </row>
    <row r="8" spans="1:9" s="1" customFormat="1" ht="18" customHeight="1" thickBot="1" x14ac:dyDescent="0.25">
      <c r="A8" s="849"/>
      <c r="B8" s="850" t="s">
        <v>483</v>
      </c>
      <c r="C8" s="378">
        <v>2</v>
      </c>
      <c r="D8" s="378"/>
      <c r="E8" s="89"/>
      <c r="F8" s="851"/>
      <c r="G8" s="378"/>
      <c r="H8" s="378"/>
      <c r="I8" s="382"/>
    </row>
    <row r="9" spans="1:9" s="1" customFormat="1" ht="18" customHeight="1" thickBot="1" x14ac:dyDescent="0.25">
      <c r="A9" s="849"/>
      <c r="B9" s="850" t="s">
        <v>484</v>
      </c>
      <c r="C9" s="378">
        <v>26</v>
      </c>
      <c r="D9" s="378"/>
      <c r="E9" s="89"/>
      <c r="F9" s="851"/>
      <c r="G9" s="378"/>
      <c r="H9" s="378"/>
      <c r="I9" s="382"/>
    </row>
    <row r="10" spans="1:9" s="841" customFormat="1" ht="20.25" customHeight="1" thickBot="1" x14ac:dyDescent="0.25">
      <c r="A10" s="962" t="s">
        <v>487</v>
      </c>
      <c r="B10" s="963"/>
      <c r="C10" s="382">
        <f>SUM(C6:C9)</f>
        <v>28</v>
      </c>
      <c r="D10" s="382">
        <f>SUM(D6:D9)</f>
        <v>3</v>
      </c>
      <c r="E10" s="852"/>
      <c r="F10" s="853"/>
      <c r="G10" s="382"/>
      <c r="H10" s="382"/>
      <c r="I10" s="382"/>
    </row>
    <row r="11" spans="1:9" s="1" customFormat="1" ht="19.5" customHeight="1" thickBot="1" x14ac:dyDescent="0.25">
      <c r="A11" s="849"/>
      <c r="B11" s="908" t="s">
        <v>559</v>
      </c>
      <c r="C11" s="378"/>
      <c r="D11" s="378"/>
      <c r="E11" s="89">
        <v>2</v>
      </c>
      <c r="F11" s="860"/>
      <c r="G11" s="378">
        <v>1</v>
      </c>
      <c r="H11" s="378">
        <v>1</v>
      </c>
      <c r="I11" s="382"/>
    </row>
    <row r="12" spans="1:9" s="1" customFormat="1" ht="19.5" customHeight="1" thickBot="1" x14ac:dyDescent="0.25">
      <c r="A12" s="849"/>
      <c r="B12" s="850" t="s">
        <v>485</v>
      </c>
      <c r="C12" s="378"/>
      <c r="D12" s="378"/>
      <c r="E12" s="89">
        <v>2</v>
      </c>
      <c r="F12" s="860"/>
      <c r="G12" s="378"/>
      <c r="H12" s="378"/>
      <c r="I12" s="382"/>
    </row>
    <row r="13" spans="1:9" s="1" customFormat="1" ht="19.5" customHeight="1" thickBot="1" x14ac:dyDescent="0.25">
      <c r="A13" s="849"/>
      <c r="B13" s="850" t="s">
        <v>489</v>
      </c>
      <c r="C13" s="378"/>
      <c r="D13" s="378"/>
      <c r="E13" s="89">
        <v>27</v>
      </c>
      <c r="F13" s="860"/>
      <c r="G13" s="378">
        <v>4</v>
      </c>
      <c r="H13" s="378"/>
      <c r="I13" s="382"/>
    </row>
    <row r="14" spans="1:9" s="1" customFormat="1" ht="19.5" customHeight="1" thickBot="1" x14ac:dyDescent="0.25">
      <c r="A14" s="849"/>
      <c r="B14" s="850" t="s">
        <v>490</v>
      </c>
      <c r="C14" s="378"/>
      <c r="D14" s="378"/>
      <c r="E14" s="89">
        <v>13</v>
      </c>
      <c r="F14" s="860"/>
      <c r="G14" s="378"/>
      <c r="H14" s="378">
        <v>6</v>
      </c>
      <c r="I14" s="382"/>
    </row>
    <row r="15" spans="1:9" s="1" customFormat="1" ht="19.5" customHeight="1" thickBot="1" x14ac:dyDescent="0.25">
      <c r="A15" s="849"/>
      <c r="B15" s="850" t="s">
        <v>491</v>
      </c>
      <c r="C15" s="378"/>
      <c r="D15" s="378"/>
      <c r="E15" s="89"/>
      <c r="F15" s="860"/>
      <c r="G15" s="378"/>
      <c r="H15" s="378">
        <v>4</v>
      </c>
      <c r="I15" s="382"/>
    </row>
    <row r="16" spans="1:9" s="1" customFormat="1" ht="19.5" customHeight="1" thickBot="1" x14ac:dyDescent="0.25">
      <c r="A16" s="849"/>
      <c r="B16" s="850" t="s">
        <v>486</v>
      </c>
      <c r="C16" s="378"/>
      <c r="D16" s="378"/>
      <c r="E16" s="89">
        <v>17</v>
      </c>
      <c r="F16" s="860"/>
      <c r="G16" s="378">
        <v>2</v>
      </c>
      <c r="H16" s="378">
        <v>3</v>
      </c>
      <c r="I16" s="382"/>
    </row>
    <row r="17" spans="1:17" s="841" customFormat="1" ht="19.5" customHeight="1" thickBot="1" x14ac:dyDescent="0.25">
      <c r="A17" s="964" t="s">
        <v>488</v>
      </c>
      <c r="B17" s="965"/>
      <c r="C17" s="382">
        <f>+C10</f>
        <v>28</v>
      </c>
      <c r="D17" s="382">
        <f t="shared" ref="D17" si="0">+D10</f>
        <v>3</v>
      </c>
      <c r="E17" s="382">
        <f t="shared" ref="E17:F17" si="1">SUM(E11:E16)</f>
        <v>61</v>
      </c>
      <c r="F17" s="382">
        <f t="shared" si="1"/>
        <v>0</v>
      </c>
      <c r="G17" s="382">
        <f>SUM(G11:G16)</f>
        <v>7</v>
      </c>
      <c r="H17" s="382">
        <f>SUM(H11:H16)</f>
        <v>14</v>
      </c>
      <c r="I17" s="382">
        <f>SUM(C17:H17)</f>
        <v>113</v>
      </c>
    </row>
    <row r="18" spans="1:17" ht="15.75" x14ac:dyDescent="0.25">
      <c r="A18" s="80"/>
      <c r="K18" s="36"/>
      <c r="L18" s="36"/>
      <c r="M18" s="36"/>
      <c r="N18" s="36"/>
      <c r="O18" s="36"/>
      <c r="P18" s="36"/>
      <c r="Q18" s="36"/>
    </row>
    <row r="19" spans="1:17" x14ac:dyDescent="0.2">
      <c r="I19" s="383"/>
      <c r="K19" s="36"/>
      <c r="L19" s="36"/>
      <c r="M19" s="36"/>
      <c r="N19" s="36"/>
      <c r="O19" s="36"/>
      <c r="P19" s="36"/>
      <c r="Q19" s="36"/>
    </row>
    <row r="20" spans="1:17" x14ac:dyDescent="0.2">
      <c r="K20" s="36"/>
      <c r="L20" s="36"/>
      <c r="M20" s="36"/>
      <c r="N20" s="36"/>
      <c r="O20" s="36"/>
      <c r="P20" s="36"/>
      <c r="Q20" s="36"/>
    </row>
    <row r="21" spans="1:17" x14ac:dyDescent="0.2">
      <c r="K21" s="36"/>
      <c r="L21" s="36"/>
      <c r="M21" s="36"/>
      <c r="N21" s="36"/>
      <c r="O21" s="36"/>
      <c r="P21" s="36"/>
      <c r="Q21" s="36"/>
    </row>
    <row r="22" spans="1:17" x14ac:dyDescent="0.2">
      <c r="K22" s="36"/>
      <c r="L22" s="36"/>
      <c r="M22" s="36"/>
      <c r="N22" s="36"/>
      <c r="O22" s="36"/>
      <c r="P22" s="36"/>
      <c r="Q22" s="36"/>
    </row>
    <row r="23" spans="1:17" x14ac:dyDescent="0.2">
      <c r="K23" s="36"/>
      <c r="L23" s="36"/>
      <c r="M23" s="36"/>
      <c r="N23" s="36"/>
      <c r="O23" s="36"/>
      <c r="P23" s="36"/>
      <c r="Q23" s="36"/>
    </row>
    <row r="24" spans="1:17" x14ac:dyDescent="0.2">
      <c r="K24" s="36"/>
      <c r="L24" s="36"/>
      <c r="M24" s="36"/>
      <c r="N24" s="36"/>
      <c r="O24" s="36"/>
      <c r="P24" s="36"/>
      <c r="Q24" s="36"/>
    </row>
    <row r="25" spans="1:17" x14ac:dyDescent="0.2">
      <c r="K25" s="36"/>
      <c r="L25" s="36"/>
      <c r="M25" s="36"/>
      <c r="N25" s="36"/>
      <c r="O25" s="36"/>
      <c r="P25" s="36"/>
      <c r="Q25" s="36"/>
    </row>
    <row r="26" spans="1:17" x14ac:dyDescent="0.2">
      <c r="K26" s="36"/>
      <c r="L26" s="36"/>
      <c r="M26" s="36"/>
      <c r="N26" s="36"/>
      <c r="O26" s="36"/>
      <c r="P26" s="36"/>
      <c r="Q26" s="36"/>
    </row>
    <row r="27" spans="1:17" x14ac:dyDescent="0.2">
      <c r="K27" s="36"/>
      <c r="L27" s="36"/>
      <c r="M27" s="36"/>
      <c r="N27" s="36"/>
      <c r="O27" s="36"/>
      <c r="P27" s="36"/>
      <c r="Q27" s="36"/>
    </row>
    <row r="28" spans="1:17" x14ac:dyDescent="0.2">
      <c r="K28" s="36"/>
      <c r="L28" s="36"/>
      <c r="M28" s="36"/>
      <c r="N28" s="36"/>
      <c r="O28" s="36"/>
      <c r="P28" s="36"/>
      <c r="Q28" s="36"/>
    </row>
    <row r="29" spans="1:17" x14ac:dyDescent="0.2">
      <c r="K29" s="36"/>
      <c r="L29" s="36"/>
      <c r="M29" s="36"/>
      <c r="N29" s="36"/>
      <c r="O29" s="36"/>
      <c r="P29" s="36"/>
      <c r="Q29" s="36"/>
    </row>
    <row r="30" spans="1:17" x14ac:dyDescent="0.2">
      <c r="K30" s="36"/>
      <c r="L30" s="36"/>
      <c r="M30" s="36"/>
      <c r="N30" s="36"/>
      <c r="O30" s="36"/>
      <c r="P30" s="36"/>
      <c r="Q30" s="36"/>
    </row>
  </sheetData>
  <mergeCells count="5">
    <mergeCell ref="A2:A4"/>
    <mergeCell ref="C2:I2"/>
    <mergeCell ref="C3:I3"/>
    <mergeCell ref="A10:B10"/>
    <mergeCell ref="A17:B17"/>
  </mergeCells>
  <phoneticPr fontId="11" type="noConversion"/>
  <printOptions horizontalCentered="1"/>
  <pageMargins left="0.35433070866141736" right="0.27559055118110237" top="1.1811023622047245" bottom="0.78740157480314965" header="0.51181102362204722" footer="0.51181102362204722"/>
  <pageSetup paperSize="9" scale="73" orientation="landscape" horizontalDpi="4294967294" r:id="rId1"/>
  <headerFooter alignWithMargins="0">
    <oddHeader>&amp;L13.sz.melléklet&amp;C&amp;"Arial,Félkövér"&amp;12Nagykovácsi Nagyközség Önkormányzati intézményeinek éves létszám-előirányzata 
2017. év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pageSetUpPr fitToPage="1"/>
  </sheetPr>
  <dimension ref="A1:J60"/>
  <sheetViews>
    <sheetView zoomScale="90" zoomScaleNormal="90" workbookViewId="0">
      <selection activeCell="D57" sqref="D57"/>
    </sheetView>
  </sheetViews>
  <sheetFormatPr defaultRowHeight="12.75" x14ac:dyDescent="0.2"/>
  <cols>
    <col min="1" max="1" width="11.28515625" bestFit="1" customWidth="1"/>
    <col min="2" max="2" width="63.7109375" bestFit="1" customWidth="1"/>
    <col min="3" max="3" width="15" style="171" customWidth="1"/>
    <col min="4" max="4" width="15" customWidth="1"/>
    <col min="6" max="6" width="9.85546875" bestFit="1" customWidth="1"/>
  </cols>
  <sheetData>
    <row r="1" spans="1:10" ht="16.5" thickBot="1" x14ac:dyDescent="0.3">
      <c r="A1" s="928"/>
      <c r="B1" s="928"/>
      <c r="C1" s="928"/>
    </row>
    <row r="2" spans="1:10" ht="42" customHeight="1" x14ac:dyDescent="0.2">
      <c r="A2" s="156"/>
      <c r="B2" s="157"/>
      <c r="C2" s="624" t="s">
        <v>225</v>
      </c>
      <c r="D2" s="624" t="s">
        <v>423</v>
      </c>
    </row>
    <row r="3" spans="1:10" ht="24.95" customHeight="1" thickBot="1" x14ac:dyDescent="0.3">
      <c r="A3" s="626"/>
      <c r="B3" s="627" t="s">
        <v>3</v>
      </c>
      <c r="C3" s="628" t="s">
        <v>131</v>
      </c>
      <c r="D3" s="628" t="s">
        <v>131</v>
      </c>
    </row>
    <row r="4" spans="1:10" ht="24.95" customHeight="1" thickBot="1" x14ac:dyDescent="0.25">
      <c r="A4" s="629"/>
      <c r="B4" s="630" t="s">
        <v>424</v>
      </c>
      <c r="C4" s="631">
        <f>+C6+C17+C27</f>
        <v>1282131</v>
      </c>
      <c r="D4" s="631">
        <f>+D6+D17+D27</f>
        <v>1160244</v>
      </c>
    </row>
    <row r="5" spans="1:10" ht="16.5" x14ac:dyDescent="0.25">
      <c r="A5" s="474" t="s">
        <v>293</v>
      </c>
      <c r="B5" s="632" t="s">
        <v>292</v>
      </c>
      <c r="C5" s="633">
        <f>+C6+C17</f>
        <v>1101422</v>
      </c>
      <c r="D5" s="633">
        <f>+D6+D17</f>
        <v>1021442</v>
      </c>
    </row>
    <row r="6" spans="1:10" ht="16.5" x14ac:dyDescent="0.25">
      <c r="A6" s="634"/>
      <c r="B6" s="635" t="s">
        <v>294</v>
      </c>
      <c r="C6" s="636">
        <f>+C7+C10+C14+C15</f>
        <v>947643</v>
      </c>
      <c r="D6" s="636">
        <f>+D7+D10+D14+D15</f>
        <v>967428</v>
      </c>
      <c r="I6" s="37"/>
      <c r="J6" s="171"/>
    </row>
    <row r="7" spans="1:10" x14ac:dyDescent="0.2">
      <c r="A7" s="637" t="s">
        <v>296</v>
      </c>
      <c r="B7" s="638" t="s">
        <v>295</v>
      </c>
      <c r="C7" s="208">
        <f>+C8+C9</f>
        <v>486684</v>
      </c>
      <c r="D7" s="208">
        <f>+D8+D9</f>
        <v>474662</v>
      </c>
    </row>
    <row r="8" spans="1:10" x14ac:dyDescent="0.2">
      <c r="A8" s="639" t="s">
        <v>298</v>
      </c>
      <c r="B8" s="640" t="s">
        <v>297</v>
      </c>
      <c r="C8" s="200">
        <f>+'4.sz.m.Bevételek'!C7</f>
        <v>472284</v>
      </c>
      <c r="D8" s="200">
        <f>+'4.sz.m.Bevételek'!D7</f>
        <v>473767</v>
      </c>
    </row>
    <row r="9" spans="1:10" x14ac:dyDescent="0.2">
      <c r="A9" s="639" t="s">
        <v>300</v>
      </c>
      <c r="B9" s="640" t="s">
        <v>299</v>
      </c>
      <c r="C9" s="200">
        <f>+'4.sz.m.Bevételek'!C8</f>
        <v>14400</v>
      </c>
      <c r="D9" s="200">
        <f>+'4.sz.m.Bevételek'!D8</f>
        <v>895</v>
      </c>
    </row>
    <row r="10" spans="1:10" x14ac:dyDescent="0.2">
      <c r="A10" s="641" t="s">
        <v>302</v>
      </c>
      <c r="B10" s="642" t="s">
        <v>301</v>
      </c>
      <c r="C10" s="208">
        <f>+C11+C12+C13</f>
        <v>419892</v>
      </c>
      <c r="D10" s="208">
        <f>+D11+D12+D13</f>
        <v>438666</v>
      </c>
    </row>
    <row r="11" spans="1:10" x14ac:dyDescent="0.2">
      <c r="A11" s="639" t="s">
        <v>304</v>
      </c>
      <c r="B11" s="640" t="s">
        <v>303</v>
      </c>
      <c r="C11" s="208">
        <f>+'4.sz.m.Bevételek'!C10</f>
        <v>381839</v>
      </c>
      <c r="D11" s="208">
        <f>+'4.sz.m.Bevételek'!D10</f>
        <v>393907</v>
      </c>
    </row>
    <row r="12" spans="1:10" x14ac:dyDescent="0.2">
      <c r="A12" s="639" t="s">
        <v>306</v>
      </c>
      <c r="B12" s="640" t="s">
        <v>305</v>
      </c>
      <c r="C12" s="208">
        <f>+'4.sz.m.Bevételek'!C11</f>
        <v>28953</v>
      </c>
      <c r="D12" s="208">
        <f>+'4.sz.m.Bevételek'!D11</f>
        <v>28259</v>
      </c>
    </row>
    <row r="13" spans="1:10" x14ac:dyDescent="0.2">
      <c r="A13" s="639" t="s">
        <v>308</v>
      </c>
      <c r="B13" s="640" t="s">
        <v>307</v>
      </c>
      <c r="C13" s="208">
        <f>+'4.sz.m.Bevételek'!C12</f>
        <v>9100</v>
      </c>
      <c r="D13" s="208">
        <f>+'4.sz.m.Bevételek'!D12</f>
        <v>16500</v>
      </c>
    </row>
    <row r="14" spans="1:10" x14ac:dyDescent="0.2">
      <c r="A14" s="637" t="s">
        <v>310</v>
      </c>
      <c r="B14" s="638" t="s">
        <v>309</v>
      </c>
      <c r="C14" s="208">
        <f>+'4.sz.m.Bevételek'!C13</f>
        <v>41067</v>
      </c>
      <c r="D14" s="208">
        <f>+'4.sz.m.Bevételek'!D13</f>
        <v>54100</v>
      </c>
    </row>
    <row r="15" spans="1:10" x14ac:dyDescent="0.2">
      <c r="A15" s="637" t="s">
        <v>312</v>
      </c>
      <c r="B15" s="638" t="s">
        <v>311</v>
      </c>
      <c r="C15" s="208">
        <f>+'4.sz.m.Bevételek'!C14</f>
        <v>0</v>
      </c>
      <c r="D15" s="208">
        <f>+'4.sz.m.Bevételek'!D14</f>
        <v>0</v>
      </c>
    </row>
    <row r="16" spans="1:10" x14ac:dyDescent="0.2">
      <c r="A16" s="639" t="s">
        <v>314</v>
      </c>
      <c r="B16" s="640" t="s">
        <v>313</v>
      </c>
      <c r="C16" s="208">
        <f>+'4.sz.m.Bevételek'!C15</f>
        <v>0</v>
      </c>
      <c r="D16" s="208">
        <f>+'4.sz.m.Bevételek'!D15</f>
        <v>0</v>
      </c>
    </row>
    <row r="17" spans="1:6" x14ac:dyDescent="0.2">
      <c r="A17" s="643"/>
      <c r="B17" s="635" t="s">
        <v>315</v>
      </c>
      <c r="C17" s="633">
        <f>+C18+C21+C24</f>
        <v>153779</v>
      </c>
      <c r="D17" s="633">
        <f>+D18+D21+D24</f>
        <v>54014</v>
      </c>
    </row>
    <row r="18" spans="1:6" x14ac:dyDescent="0.2">
      <c r="A18" s="637" t="s">
        <v>317</v>
      </c>
      <c r="B18" s="638" t="s">
        <v>316</v>
      </c>
      <c r="C18" s="200">
        <f>+C19+C20</f>
        <v>135279</v>
      </c>
      <c r="D18" s="200">
        <f>+D19+D20</f>
        <v>54014</v>
      </c>
    </row>
    <row r="19" spans="1:6" x14ac:dyDescent="0.2">
      <c r="A19" s="641" t="s">
        <v>319</v>
      </c>
      <c r="B19" s="644" t="s">
        <v>318</v>
      </c>
      <c r="C19" s="200"/>
      <c r="D19" s="158"/>
    </row>
    <row r="20" spans="1:6" ht="12.75" customHeight="1" x14ac:dyDescent="0.2">
      <c r="A20" s="641" t="s">
        <v>321</v>
      </c>
      <c r="B20" s="644" t="s">
        <v>320</v>
      </c>
      <c r="C20" s="200">
        <f>+'4.sz.m.Bevételek'!C19</f>
        <v>135279</v>
      </c>
      <c r="D20" s="200">
        <f>+'4.sz.m.Bevételek'!D19</f>
        <v>54014</v>
      </c>
    </row>
    <row r="21" spans="1:6" ht="12.75" customHeight="1" x14ac:dyDescent="0.2">
      <c r="A21" s="637" t="s">
        <v>323</v>
      </c>
      <c r="B21" s="638" t="s">
        <v>322</v>
      </c>
      <c r="C21" s="200">
        <f>+C22+C23</f>
        <v>16500</v>
      </c>
      <c r="D21" s="200">
        <f>+D22+D23</f>
        <v>0</v>
      </c>
    </row>
    <row r="22" spans="1:6" ht="12.75" customHeight="1" x14ac:dyDescent="0.2">
      <c r="A22" s="641" t="s">
        <v>325</v>
      </c>
      <c r="B22" s="644" t="s">
        <v>324</v>
      </c>
      <c r="C22" s="200">
        <f>+'4.sz.m.Bevételek'!C21</f>
        <v>16500</v>
      </c>
      <c r="D22" s="200">
        <f>+'4.sz.m.Bevételek'!D21</f>
        <v>0</v>
      </c>
    </row>
    <row r="23" spans="1:6" x14ac:dyDescent="0.2">
      <c r="A23" s="641" t="s">
        <v>327</v>
      </c>
      <c r="B23" s="644" t="s">
        <v>326</v>
      </c>
      <c r="C23" s="200"/>
      <c r="D23" s="200"/>
    </row>
    <row r="24" spans="1:6" x14ac:dyDescent="0.2">
      <c r="A24" s="637" t="s">
        <v>329</v>
      </c>
      <c r="B24" s="638" t="s">
        <v>328</v>
      </c>
      <c r="C24" s="200">
        <f>+C25</f>
        <v>2000</v>
      </c>
      <c r="D24" s="200">
        <f>+D25</f>
        <v>0</v>
      </c>
    </row>
    <row r="25" spans="1:6" ht="12.75" customHeight="1" x14ac:dyDescent="0.2">
      <c r="A25" s="641" t="s">
        <v>331</v>
      </c>
      <c r="B25" s="644" t="s">
        <v>330</v>
      </c>
      <c r="C25" s="200">
        <f>+'4.sz.m.Bevételek'!C24</f>
        <v>2000</v>
      </c>
      <c r="D25" s="200">
        <f>+'4.sz.m.Bevételek'!D24</f>
        <v>0</v>
      </c>
    </row>
    <row r="26" spans="1:6" x14ac:dyDescent="0.2">
      <c r="A26" s="639"/>
      <c r="B26" s="645"/>
      <c r="C26" s="200"/>
      <c r="D26" s="158"/>
    </row>
    <row r="27" spans="1:6" ht="15.75" x14ac:dyDescent="0.25">
      <c r="A27" s="646" t="s">
        <v>333</v>
      </c>
      <c r="B27" s="647" t="s">
        <v>332</v>
      </c>
      <c r="C27" s="633">
        <f>+C28</f>
        <v>180709</v>
      </c>
      <c r="D27" s="633">
        <f>+D28</f>
        <v>138802</v>
      </c>
    </row>
    <row r="28" spans="1:6" x14ac:dyDescent="0.2">
      <c r="A28" s="643" t="s">
        <v>335</v>
      </c>
      <c r="B28" s="635" t="s">
        <v>334</v>
      </c>
      <c r="C28" s="200">
        <f>+C29+C30+C31+C32</f>
        <v>180709</v>
      </c>
      <c r="D28" s="200">
        <f>+D29+D30+D31+D32</f>
        <v>138802</v>
      </c>
    </row>
    <row r="29" spans="1:6" x14ac:dyDescent="0.2">
      <c r="A29" s="637" t="s">
        <v>337</v>
      </c>
      <c r="B29" s="638" t="s">
        <v>336</v>
      </c>
      <c r="C29" s="200"/>
      <c r="D29" s="158"/>
      <c r="F29" s="37"/>
    </row>
    <row r="30" spans="1:6" x14ac:dyDescent="0.2">
      <c r="A30" s="637" t="s">
        <v>339</v>
      </c>
      <c r="B30" s="638" t="s">
        <v>338</v>
      </c>
      <c r="C30" s="200"/>
      <c r="D30" s="158"/>
    </row>
    <row r="31" spans="1:6" hidden="1" x14ac:dyDescent="0.2">
      <c r="A31" s="637" t="s">
        <v>341</v>
      </c>
      <c r="B31" s="638" t="s">
        <v>340</v>
      </c>
      <c r="C31" s="200"/>
      <c r="D31" s="158"/>
    </row>
    <row r="32" spans="1:6" x14ac:dyDescent="0.2">
      <c r="A32" s="637" t="s">
        <v>343</v>
      </c>
      <c r="B32" s="638" t="s">
        <v>342</v>
      </c>
      <c r="C32" s="208">
        <f>+'4.sz.m.Bevételek'!C26</f>
        <v>180709</v>
      </c>
      <c r="D32" s="208">
        <f>+'4.sz.m.Bevételek'!D26</f>
        <v>138802</v>
      </c>
    </row>
    <row r="33" spans="1:4" ht="13.5" thickBot="1" x14ac:dyDescent="0.25">
      <c r="A33" s="648"/>
      <c r="B33" s="625"/>
      <c r="C33" s="208"/>
      <c r="D33" s="208"/>
    </row>
    <row r="34" spans="1:4" ht="16.5" thickBot="1" x14ac:dyDescent="0.25">
      <c r="A34" s="649"/>
      <c r="B34" s="630" t="s">
        <v>425</v>
      </c>
      <c r="C34" s="650">
        <f>+C35+C52</f>
        <v>2917350</v>
      </c>
      <c r="D34" s="650">
        <f>+D35+D52</f>
        <v>2669324</v>
      </c>
    </row>
    <row r="35" spans="1:4" ht="15.75" x14ac:dyDescent="0.25">
      <c r="A35" s="651" t="s">
        <v>347</v>
      </c>
      <c r="B35" s="632" t="s">
        <v>346</v>
      </c>
      <c r="C35" s="652">
        <f>+C36+C45</f>
        <v>2497798</v>
      </c>
      <c r="D35" s="652">
        <f>+D36+D45</f>
        <v>2161666</v>
      </c>
    </row>
    <row r="36" spans="1:4" x14ac:dyDescent="0.2">
      <c r="A36" s="643"/>
      <c r="B36" s="635" t="s">
        <v>294</v>
      </c>
      <c r="C36" s="653">
        <f>+C37+C38+C39+C40+C41</f>
        <v>446989</v>
      </c>
      <c r="D36" s="653">
        <f>+D37+D38+D39+D40+D41</f>
        <v>428653</v>
      </c>
    </row>
    <row r="37" spans="1:4" x14ac:dyDescent="0.2">
      <c r="A37" s="639" t="s">
        <v>349</v>
      </c>
      <c r="B37" s="645" t="s">
        <v>348</v>
      </c>
      <c r="C37" s="373">
        <f>+'6.sz.m.Kiadások'!C5</f>
        <v>19768</v>
      </c>
      <c r="D37" s="373">
        <f>+'6.sz.m.Kiadások'!D5</f>
        <v>33994</v>
      </c>
    </row>
    <row r="38" spans="1:4" x14ac:dyDescent="0.2">
      <c r="A38" s="639" t="s">
        <v>351</v>
      </c>
      <c r="B38" s="645" t="s">
        <v>350</v>
      </c>
      <c r="C38" s="373">
        <f>+'6.sz.m.Kiadások'!C8</f>
        <v>5412</v>
      </c>
      <c r="D38" s="373">
        <f>+'6.sz.m.Kiadások'!D8</f>
        <v>7479</v>
      </c>
    </row>
    <row r="39" spans="1:4" x14ac:dyDescent="0.2">
      <c r="A39" s="639" t="s">
        <v>353</v>
      </c>
      <c r="B39" s="645" t="s">
        <v>352</v>
      </c>
      <c r="C39" s="373">
        <f>+'6.sz.m.Kiadások'!C9</f>
        <v>194963</v>
      </c>
      <c r="D39" s="373">
        <f>+'6.sz.m.Kiadások'!D9</f>
        <v>257788</v>
      </c>
    </row>
    <row r="40" spans="1:4" x14ac:dyDescent="0.2">
      <c r="A40" s="639" t="s">
        <v>355</v>
      </c>
      <c r="B40" s="645" t="s">
        <v>354</v>
      </c>
      <c r="C40" s="200">
        <f>+'6.sz.m.Kiadások'!C15</f>
        <v>35763</v>
      </c>
      <c r="D40" s="200">
        <f>+'6.sz.m.Kiadások'!D15</f>
        <v>36898</v>
      </c>
    </row>
    <row r="41" spans="1:4" x14ac:dyDescent="0.2">
      <c r="A41" s="639" t="s">
        <v>357</v>
      </c>
      <c r="B41" s="645" t="s">
        <v>356</v>
      </c>
      <c r="C41" s="200">
        <f>+C42+C43+C44</f>
        <v>191083</v>
      </c>
      <c r="D41" s="200">
        <f>+D42+D43+D44</f>
        <v>92494</v>
      </c>
    </row>
    <row r="42" spans="1:4" x14ac:dyDescent="0.2">
      <c r="A42" s="639" t="s">
        <v>359</v>
      </c>
      <c r="B42" s="640" t="s">
        <v>358</v>
      </c>
      <c r="C42" s="200"/>
      <c r="D42" s="158"/>
    </row>
    <row r="43" spans="1:4" x14ac:dyDescent="0.2">
      <c r="A43" s="639" t="s">
        <v>361</v>
      </c>
      <c r="B43" s="640" t="s">
        <v>360</v>
      </c>
      <c r="C43" s="200">
        <v>26940</v>
      </c>
      <c r="D43" s="200">
        <v>34344</v>
      </c>
    </row>
    <row r="44" spans="1:4" x14ac:dyDescent="0.2">
      <c r="A44" s="639" t="s">
        <v>363</v>
      </c>
      <c r="B44" s="640" t="s">
        <v>362</v>
      </c>
      <c r="C44" s="200">
        <v>164143</v>
      </c>
      <c r="D44" s="200">
        <v>58150</v>
      </c>
    </row>
    <row r="45" spans="1:4" x14ac:dyDescent="0.2">
      <c r="A45" s="643"/>
      <c r="B45" s="635" t="s">
        <v>364</v>
      </c>
      <c r="C45" s="654">
        <f>+C46+C47+C48</f>
        <v>2050809</v>
      </c>
      <c r="D45" s="654">
        <f>+D46+D47+D48</f>
        <v>1733013</v>
      </c>
    </row>
    <row r="46" spans="1:4" x14ac:dyDescent="0.2">
      <c r="A46" s="639" t="s">
        <v>366</v>
      </c>
      <c r="B46" s="645" t="s">
        <v>365</v>
      </c>
      <c r="C46" s="655">
        <v>2043309</v>
      </c>
      <c r="D46" s="655">
        <v>1733013</v>
      </c>
    </row>
    <row r="47" spans="1:4" x14ac:dyDescent="0.2">
      <c r="A47" s="639" t="s">
        <v>368</v>
      </c>
      <c r="B47" s="645" t="s">
        <v>367</v>
      </c>
      <c r="C47" s="655">
        <v>7500</v>
      </c>
      <c r="D47" s="656"/>
    </row>
    <row r="48" spans="1:4" x14ac:dyDescent="0.2">
      <c r="A48" s="639" t="s">
        <v>370</v>
      </c>
      <c r="B48" s="645" t="s">
        <v>369</v>
      </c>
      <c r="C48" s="655">
        <f>+C49+C50</f>
        <v>0</v>
      </c>
      <c r="D48" s="655">
        <f>+D49+D50</f>
        <v>0</v>
      </c>
    </row>
    <row r="49" spans="1:4" x14ac:dyDescent="0.2">
      <c r="A49" s="639" t="s">
        <v>372</v>
      </c>
      <c r="B49" s="640" t="s">
        <v>371</v>
      </c>
      <c r="C49" s="655"/>
      <c r="D49" s="656"/>
    </row>
    <row r="50" spans="1:4" x14ac:dyDescent="0.2">
      <c r="A50" s="639" t="s">
        <v>374</v>
      </c>
      <c r="B50" s="640" t="s">
        <v>373</v>
      </c>
      <c r="C50" s="655"/>
      <c r="D50" s="656"/>
    </row>
    <row r="51" spans="1:4" x14ac:dyDescent="0.2">
      <c r="A51" s="639"/>
      <c r="B51" s="640"/>
      <c r="C51" s="655"/>
      <c r="D51" s="656"/>
    </row>
    <row r="52" spans="1:4" ht="15.75" x14ac:dyDescent="0.25">
      <c r="A52" s="646" t="s">
        <v>376</v>
      </c>
      <c r="B52" s="647" t="s">
        <v>375</v>
      </c>
      <c r="C52" s="654">
        <f>+C53+C54+C55+C56</f>
        <v>419552</v>
      </c>
      <c r="D52" s="654">
        <f>+D53+D54+D55+D56</f>
        <v>507658</v>
      </c>
    </row>
    <row r="53" spans="1:4" x14ac:dyDescent="0.2">
      <c r="A53" s="643" t="s">
        <v>378</v>
      </c>
      <c r="B53" s="635" t="s">
        <v>377</v>
      </c>
      <c r="C53" s="655"/>
      <c r="D53" s="656"/>
    </row>
    <row r="54" spans="1:4" x14ac:dyDescent="0.2">
      <c r="A54" s="639" t="s">
        <v>380</v>
      </c>
      <c r="B54" s="645" t="s">
        <v>379</v>
      </c>
      <c r="C54" s="200"/>
      <c r="D54" s="158"/>
    </row>
    <row r="55" spans="1:4" x14ac:dyDescent="0.2">
      <c r="A55" s="639" t="s">
        <v>382</v>
      </c>
      <c r="B55" s="645" t="s">
        <v>381</v>
      </c>
      <c r="C55" s="200"/>
      <c r="D55" s="158"/>
    </row>
    <row r="56" spans="1:4" x14ac:dyDescent="0.2">
      <c r="A56" s="639" t="s">
        <v>384</v>
      </c>
      <c r="B56" s="645" t="s">
        <v>383</v>
      </c>
      <c r="C56" s="200">
        <v>419552</v>
      </c>
      <c r="D56" s="200">
        <v>507658</v>
      </c>
    </row>
    <row r="57" spans="1:4" ht="16.5" thickBot="1" x14ac:dyDescent="0.3">
      <c r="A57" s="502"/>
      <c r="B57" s="534"/>
      <c r="C57" s="374"/>
      <c r="D57" s="374"/>
    </row>
    <row r="58" spans="1:4" ht="13.5" thickBot="1" x14ac:dyDescent="0.25"/>
    <row r="59" spans="1:4" ht="13.5" thickBot="1" x14ac:dyDescent="0.25">
      <c r="B59" s="51" t="s">
        <v>133</v>
      </c>
      <c r="C59" s="657">
        <f>+C4-C34</f>
        <v>-1635219</v>
      </c>
      <c r="D59" s="657">
        <f>+D4-D34</f>
        <v>-1509080</v>
      </c>
    </row>
    <row r="60" spans="1:4" x14ac:dyDescent="0.2">
      <c r="C60" s="385"/>
      <c r="D60" s="37"/>
    </row>
  </sheetData>
  <mergeCells count="1">
    <mergeCell ref="A1:C1"/>
  </mergeCells>
  <phoneticPr fontId="0" type="noConversion"/>
  <printOptions horizontalCentered="1" verticalCentered="1"/>
  <pageMargins left="0.74803149606299213" right="0.35433070866141736" top="0.98425196850393704" bottom="0.70866141732283472" header="0.43307086614173229" footer="0.51181102362204722"/>
  <pageSetup paperSize="9" scale="91" orientation="landscape" r:id="rId1"/>
  <headerFooter alignWithMargins="0">
    <oddHeader>&amp;L1/A sz. számú melléklet&amp;C&amp;"Arial,Félkövér"&amp;12Nagykovácsi 
Nagyközség Önkormányzatának 2015. évi bevételei és kiadásai&amp;R A 2015. évi önkormányzati költségvetési rendelethez</oddHeader>
    <oddFooter>&amp;L&amp;"Arial,Dőlt"&amp;8&amp;D&amp;R&amp;"Arial,Dőlt"&amp;8&amp;F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view="pageBreakPreview" zoomScale="60" zoomScaleNormal="100" workbookViewId="0">
      <selection activeCell="A16" sqref="A16"/>
    </sheetView>
  </sheetViews>
  <sheetFormatPr defaultRowHeight="12.75" x14ac:dyDescent="0.2"/>
  <cols>
    <col min="1" max="1" width="82.140625" bestFit="1" customWidth="1"/>
    <col min="2" max="2" width="10.28515625" style="888" customWidth="1"/>
    <col min="4" max="4" width="12.85546875" style="887" bestFit="1" customWidth="1"/>
    <col min="5" max="5" width="27.85546875" style="887" bestFit="1" customWidth="1"/>
  </cols>
  <sheetData>
    <row r="1" spans="1:5" ht="13.5" thickBot="1" x14ac:dyDescent="0.25"/>
    <row r="2" spans="1:5" x14ac:dyDescent="0.2">
      <c r="A2" s="894" t="s">
        <v>536</v>
      </c>
      <c r="B2" s="895"/>
      <c r="C2" s="896"/>
      <c r="D2" s="897"/>
      <c r="E2" s="898"/>
    </row>
    <row r="3" spans="1:5" x14ac:dyDescent="0.2">
      <c r="A3" s="899"/>
      <c r="B3" s="889"/>
      <c r="C3" s="890"/>
      <c r="D3" s="891"/>
      <c r="E3" s="900"/>
    </row>
    <row r="4" spans="1:5" x14ac:dyDescent="0.2">
      <c r="A4" s="899"/>
      <c r="B4" s="892" t="s">
        <v>538</v>
      </c>
      <c r="C4" s="890"/>
      <c r="D4" s="893" t="s">
        <v>540</v>
      </c>
      <c r="E4" s="901" t="s">
        <v>546</v>
      </c>
    </row>
    <row r="5" spans="1:5" x14ac:dyDescent="0.2">
      <c r="A5" s="899"/>
      <c r="B5" s="892"/>
      <c r="C5" s="890"/>
      <c r="D5" s="893"/>
      <c r="E5" s="901"/>
    </row>
    <row r="6" spans="1:5" x14ac:dyDescent="0.2">
      <c r="A6" s="899" t="s">
        <v>537</v>
      </c>
      <c r="B6" s="892" t="s">
        <v>539</v>
      </c>
      <c r="C6" s="890"/>
      <c r="D6" s="893" t="s">
        <v>545</v>
      </c>
      <c r="E6" s="901" t="s">
        <v>541</v>
      </c>
    </row>
    <row r="7" spans="1:5" x14ac:dyDescent="0.2">
      <c r="A7" s="902" t="s">
        <v>542</v>
      </c>
      <c r="B7" s="892" t="s">
        <v>543</v>
      </c>
      <c r="C7" s="890"/>
      <c r="D7" s="893" t="s">
        <v>544</v>
      </c>
      <c r="E7" s="901" t="s">
        <v>547</v>
      </c>
    </row>
    <row r="8" spans="1:5" x14ac:dyDescent="0.2">
      <c r="A8" s="902" t="s">
        <v>548</v>
      </c>
      <c r="B8" s="892" t="s">
        <v>549</v>
      </c>
      <c r="C8" s="890"/>
      <c r="D8" s="893" t="s">
        <v>550</v>
      </c>
      <c r="E8" s="901" t="s">
        <v>551</v>
      </c>
    </row>
    <row r="9" spans="1:5" x14ac:dyDescent="0.2">
      <c r="A9" s="902" t="s">
        <v>552</v>
      </c>
      <c r="B9" s="892" t="s">
        <v>553</v>
      </c>
      <c r="C9" s="890"/>
      <c r="D9" s="893" t="s">
        <v>554</v>
      </c>
      <c r="E9" s="901" t="s">
        <v>555</v>
      </c>
    </row>
    <row r="10" spans="1:5" ht="13.5" thickBot="1" x14ac:dyDescent="0.25">
      <c r="A10" s="903" t="s">
        <v>556</v>
      </c>
      <c r="B10" s="904" t="s">
        <v>549</v>
      </c>
      <c r="C10" s="905"/>
      <c r="D10" s="906" t="s">
        <v>557</v>
      </c>
      <c r="E10" s="907" t="s">
        <v>558</v>
      </c>
    </row>
  </sheetData>
  <pageMargins left="0.7" right="0.7" top="0.75" bottom="0.75" header="0.3" footer="0.3"/>
  <pageSetup paperSize="9" scale="9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4"/>
  <sheetViews>
    <sheetView zoomScaleNormal="100" workbookViewId="0">
      <selection activeCell="E23" sqref="E23"/>
    </sheetView>
  </sheetViews>
  <sheetFormatPr defaultRowHeight="12.75" x14ac:dyDescent="0.2"/>
  <cols>
    <col min="1" max="1" width="51.5703125" style="173" customWidth="1"/>
    <col min="2" max="2" width="19" style="415" customWidth="1"/>
    <col min="3" max="16384" width="9.140625" style="171"/>
  </cols>
  <sheetData>
    <row r="2" spans="1:2" x14ac:dyDescent="0.2">
      <c r="A2" s="966" t="s">
        <v>275</v>
      </c>
      <c r="B2" s="967"/>
    </row>
    <row r="3" spans="1:2" ht="39" customHeight="1" x14ac:dyDescent="0.2">
      <c r="A3" s="968"/>
      <c r="B3" s="969"/>
    </row>
    <row r="4" spans="1:2" ht="15.75" customHeight="1" x14ac:dyDescent="0.25">
      <c r="A4" s="414"/>
    </row>
    <row r="5" spans="1:2" ht="15.75" customHeight="1" x14ac:dyDescent="0.2">
      <c r="A5" s="970" t="s">
        <v>239</v>
      </c>
      <c r="B5" s="971" t="s">
        <v>269</v>
      </c>
    </row>
    <row r="6" spans="1:2" ht="15.75" customHeight="1" x14ac:dyDescent="0.2">
      <c r="A6" s="970"/>
      <c r="B6" s="971"/>
    </row>
    <row r="7" spans="1:2" ht="15.75" customHeight="1" x14ac:dyDescent="0.4">
      <c r="A7" s="972"/>
      <c r="B7" s="972"/>
    </row>
    <row r="8" spans="1:2" s="413" customFormat="1" ht="15.75" customHeight="1" x14ac:dyDescent="0.25">
      <c r="A8" s="416" t="s">
        <v>2</v>
      </c>
      <c r="B8" s="433">
        <f>+B9</f>
        <v>7440000</v>
      </c>
    </row>
    <row r="9" spans="1:2" ht="15.75" customHeight="1" x14ac:dyDescent="0.2">
      <c r="A9" s="418" t="s">
        <v>268</v>
      </c>
      <c r="B9" s="419">
        <f>+(54+4+4)*10000*12</f>
        <v>7440000</v>
      </c>
    </row>
    <row r="10" spans="1:2" s="413" customFormat="1" ht="15.75" customHeight="1" x14ac:dyDescent="0.25">
      <c r="A10" s="420"/>
      <c r="B10" s="421"/>
    </row>
    <row r="11" spans="1:2" s="413" customFormat="1" ht="15.75" customHeight="1" x14ac:dyDescent="0.25">
      <c r="A11" s="416" t="s">
        <v>270</v>
      </c>
      <c r="B11" s="433">
        <f>+B12</f>
        <v>1239504.0000000002</v>
      </c>
    </row>
    <row r="12" spans="1:2" ht="15.75" customHeight="1" x14ac:dyDescent="0.2">
      <c r="A12" s="418" t="s">
        <v>271</v>
      </c>
      <c r="B12" s="419">
        <f>+B9*1.19*0.14</f>
        <v>1239504.0000000002</v>
      </c>
    </row>
    <row r="13" spans="1:2" s="413" customFormat="1" ht="15.75" customHeight="1" x14ac:dyDescent="0.2">
      <c r="A13" s="423"/>
      <c r="B13" s="424"/>
    </row>
    <row r="14" spans="1:2" s="413" customFormat="1" ht="15.75" customHeight="1" x14ac:dyDescent="0.25">
      <c r="A14" s="416" t="s">
        <v>24</v>
      </c>
      <c r="B14" s="433">
        <f>+B15</f>
        <v>1416576</v>
      </c>
    </row>
    <row r="15" spans="1:2" ht="15.75" customHeight="1" x14ac:dyDescent="0.2">
      <c r="A15" s="418" t="s">
        <v>272</v>
      </c>
      <c r="B15" s="419">
        <f>+B9*1.19*0.16</f>
        <v>1416576</v>
      </c>
    </row>
    <row r="16" spans="1:2" s="413" customFormat="1" ht="15.75" customHeight="1" x14ac:dyDescent="0.2">
      <c r="A16" s="425"/>
      <c r="B16" s="426"/>
    </row>
    <row r="17" spans="1:3" s="413" customFormat="1" ht="15.75" customHeight="1" x14ac:dyDescent="0.25">
      <c r="A17" s="432" t="s">
        <v>135</v>
      </c>
      <c r="B17" s="433" t="e">
        <f>+B18</f>
        <v>#REF!</v>
      </c>
    </row>
    <row r="18" spans="1:3" ht="15.75" customHeight="1" x14ac:dyDescent="0.2">
      <c r="A18" s="429" t="s">
        <v>274</v>
      </c>
      <c r="B18" s="419" t="e">
        <f>+'3. sz. m._kiadások-bevételek'!#REF!*1000-'5. sz. m. Állami támogatások'!#REF!-'5. sz. m. Állami támogatások'!#REF!</f>
        <v>#REF!</v>
      </c>
      <c r="C18" s="430"/>
    </row>
    <row r="19" spans="1:3" s="413" customFormat="1" ht="15.75" customHeight="1" x14ac:dyDescent="0.2">
      <c r="A19" s="427"/>
      <c r="B19" s="417"/>
    </row>
    <row r="20" spans="1:3" s="413" customFormat="1" ht="15.75" customHeight="1" x14ac:dyDescent="0.25">
      <c r="A20" s="416" t="s">
        <v>273</v>
      </c>
      <c r="B20" s="433" t="e">
        <f>SUM(B21:B29)</f>
        <v>#REF!</v>
      </c>
    </row>
    <row r="21" spans="1:3" ht="15.75" customHeight="1" x14ac:dyDescent="0.2">
      <c r="A21" s="429" t="s">
        <v>144</v>
      </c>
      <c r="B21" s="419">
        <f>+'7.sz.Műk.c.átadott.pe. '!C5*1000</f>
        <v>3262000</v>
      </c>
    </row>
    <row r="22" spans="1:3" ht="15.75" customHeight="1" x14ac:dyDescent="0.2">
      <c r="A22" s="429" t="s">
        <v>140</v>
      </c>
      <c r="B22" s="419">
        <f>+'7.sz.Műk.c.átadott.pe. '!C6*1000</f>
        <v>2000000</v>
      </c>
    </row>
    <row r="23" spans="1:3" ht="15.75" customHeight="1" x14ac:dyDescent="0.2">
      <c r="A23" s="429" t="s">
        <v>142</v>
      </c>
      <c r="B23" s="419" t="e">
        <f>+'7.sz.Műk.c.átadott.pe. '!#REF!*1000</f>
        <v>#REF!</v>
      </c>
    </row>
    <row r="24" spans="1:3" ht="15.75" customHeight="1" x14ac:dyDescent="0.2">
      <c r="A24" s="429" t="s">
        <v>141</v>
      </c>
      <c r="B24" s="419">
        <f>+'7.sz.Műk.c.átadott.pe. '!C8*1000</f>
        <v>300000</v>
      </c>
    </row>
    <row r="25" spans="1:3" ht="15.75" customHeight="1" x14ac:dyDescent="0.2">
      <c r="A25" s="429" t="s">
        <v>261</v>
      </c>
      <c r="B25" s="419">
        <f>+'7.sz.Műk.c.átadott.pe. '!C9*1000</f>
        <v>5000000</v>
      </c>
    </row>
    <row r="26" spans="1:3" ht="15.75" customHeight="1" x14ac:dyDescent="0.2">
      <c r="A26" s="429" t="s">
        <v>262</v>
      </c>
      <c r="B26" s="419">
        <f>+'7.sz.Műk.c.átadott.pe. '!C10*1000</f>
        <v>22860000</v>
      </c>
    </row>
    <row r="27" spans="1:3" ht="15.75" customHeight="1" x14ac:dyDescent="0.2">
      <c r="A27" s="429" t="s">
        <v>263</v>
      </c>
      <c r="B27" s="419" t="e">
        <f>+'7.sz.Műk.c.átadott.pe. '!#REF!*1000</f>
        <v>#REF!</v>
      </c>
    </row>
    <row r="28" spans="1:3" ht="15.75" customHeight="1" x14ac:dyDescent="0.2">
      <c r="A28" s="429" t="s">
        <v>264</v>
      </c>
      <c r="B28" s="419">
        <f>+'7.sz.Műk.c.átadott.pe. '!C12*1000</f>
        <v>50000</v>
      </c>
    </row>
    <row r="29" spans="1:3" ht="15.75" customHeight="1" x14ac:dyDescent="0.2">
      <c r="A29" s="429" t="s">
        <v>209</v>
      </c>
      <c r="B29" s="419">
        <f>+'7.sz.Műk.c.átadott.pe. '!C13*1000</f>
        <v>1200000</v>
      </c>
    </row>
    <row r="30" spans="1:3" s="413" customFormat="1" ht="15.75" customHeight="1" x14ac:dyDescent="0.25">
      <c r="A30" s="416"/>
      <c r="B30" s="417"/>
    </row>
    <row r="31" spans="1:3" s="413" customFormat="1" ht="15.75" customHeight="1" x14ac:dyDescent="0.25">
      <c r="A31" s="416" t="s">
        <v>167</v>
      </c>
      <c r="B31" s="433" t="e">
        <f>SUM(B32:B33)</f>
        <v>#REF!</v>
      </c>
    </row>
    <row r="32" spans="1:3" ht="15.75" customHeight="1" x14ac:dyDescent="0.2">
      <c r="A32" s="429" t="s">
        <v>259</v>
      </c>
      <c r="B32" s="419" t="e">
        <f>+'6.2. sz.m.felh.kiadás'!#REF!*1000</f>
        <v>#REF!</v>
      </c>
    </row>
    <row r="33" spans="1:2" ht="15.75" customHeight="1" x14ac:dyDescent="0.2">
      <c r="A33" s="429" t="s">
        <v>260</v>
      </c>
      <c r="B33" s="419" t="e">
        <f>+'6.2. sz.m.felh.kiadás'!#REF!*1000</f>
        <v>#REF!</v>
      </c>
    </row>
    <row r="34" spans="1:2" s="413" customFormat="1" ht="15.75" customHeight="1" x14ac:dyDescent="0.2">
      <c r="A34" s="428"/>
      <c r="B34" s="422"/>
    </row>
    <row r="35" spans="1:2" s="413" customFormat="1" ht="15.75" customHeight="1" x14ac:dyDescent="0.25">
      <c r="A35" s="416" t="s">
        <v>168</v>
      </c>
      <c r="B35" s="433" t="e">
        <f>SUM(B36:B53)</f>
        <v>#REF!</v>
      </c>
    </row>
    <row r="36" spans="1:2" ht="15.75" customHeight="1" x14ac:dyDescent="0.2">
      <c r="A36" s="429" t="e">
        <f>+'6.2. sz.m.felh.kiadás'!#REF!</f>
        <v>#REF!</v>
      </c>
      <c r="B36" s="431" t="e">
        <f>+'6.2. sz.m.felh.kiadás'!#REF!*1000</f>
        <v>#REF!</v>
      </c>
    </row>
    <row r="37" spans="1:2" ht="15.75" customHeight="1" x14ac:dyDescent="0.2">
      <c r="A37" s="429" t="str">
        <f>+'6.2. sz.m.felh.kiadás'!B3</f>
        <v>Kossuth L. u. 56/2 ingatlanrész megvásárlása</v>
      </c>
      <c r="B37" s="431">
        <f>+'6.2. sz.m.felh.kiadás'!C3*1000</f>
        <v>13000000</v>
      </c>
    </row>
    <row r="38" spans="1:2" ht="15.75" customHeight="1" x14ac:dyDescent="0.2">
      <c r="A38" s="429" t="str">
        <f>+'6.2. sz.m.felh.kiadás'!B4</f>
        <v>térinformatikai rendszer fejlesztése</v>
      </c>
      <c r="B38" s="431">
        <f>+'6.2. sz.m.felh.kiadás'!C4*1000</f>
        <v>2000000</v>
      </c>
    </row>
    <row r="39" spans="1:2" ht="15.75" customHeight="1" x14ac:dyDescent="0.2">
      <c r="A39" s="429" t="str">
        <f>+'6.2. sz.m.felh.kiadás'!B5</f>
        <v>Bánya u. forgalomtechnikai beruházások</v>
      </c>
      <c r="B39" s="431">
        <f>+'6.2. sz.m.felh.kiadás'!C5*1000</f>
        <v>400000</v>
      </c>
    </row>
    <row r="40" spans="1:2" ht="15.75" customHeight="1" x14ac:dyDescent="0.2">
      <c r="A40" s="429" t="str">
        <f>+'6.2. sz.m.felh.kiadás'!B7</f>
        <v>Dózsa óvoda játszóeszköz ütéscsillapítás, kerítés építés</v>
      </c>
      <c r="B40" s="431">
        <f>+'6.2. sz.m.felh.kiadás'!C7*1000</f>
        <v>3300000</v>
      </c>
    </row>
    <row r="41" spans="1:2" ht="15.75" customHeight="1" x14ac:dyDescent="0.2">
      <c r="A41" s="429" t="str">
        <f>+'6.2. sz.m.felh.kiadás'!B8</f>
        <v>Öregiskola tolóajtó csere</v>
      </c>
      <c r="B41" s="431">
        <f>+'6.2. sz.m.felh.kiadás'!C8*1000</f>
        <v>1500000</v>
      </c>
    </row>
    <row r="42" spans="1:2" ht="15.75" customHeight="1" x14ac:dyDescent="0.2">
      <c r="A42" s="429" t="str">
        <f>+'6.2. sz.m.felh.kiadás'!B9</f>
        <v>Közvilágítás bővítés</v>
      </c>
      <c r="B42" s="431">
        <f>+'6.2. sz.m.felh.kiadás'!C9*1000</f>
        <v>3000000</v>
      </c>
    </row>
    <row r="43" spans="1:2" ht="15.75" customHeight="1" x14ac:dyDescent="0.2">
      <c r="A43" s="429" t="str">
        <f>+'6.2. sz.m.felh.kiadás'!B10</f>
        <v>Felszíni vízelvezetés</v>
      </c>
      <c r="B43" s="431">
        <f>+'6.2. sz.m.felh.kiadás'!C10*1000</f>
        <v>4000000</v>
      </c>
    </row>
    <row r="44" spans="1:2" ht="15.75" customHeight="1" x14ac:dyDescent="0.2">
      <c r="A44" s="429" t="str">
        <f>+'6.2. sz.m.felh.kiadás'!B11</f>
        <v>Tűzoltó laktanya villamos energiaellátásnak kiépítése</v>
      </c>
      <c r="B44" s="431">
        <f>+'6.2. sz.m.felh.kiadás'!C11*1000</f>
        <v>500000</v>
      </c>
    </row>
    <row r="45" spans="1:2" ht="15.75" customHeight="1" x14ac:dyDescent="0.2">
      <c r="A45" s="429" t="str">
        <f>+'6.2. sz.m.felh.kiadás'!B12</f>
        <v>Iskola részére szerszámok vásárlása (fűnyíró, fűkasza, hókotró stb.)</v>
      </c>
      <c r="B45" s="431">
        <f>+'6.2. sz.m.felh.kiadás'!C12*1000</f>
        <v>750000</v>
      </c>
    </row>
    <row r="46" spans="1:2" ht="15.75" customHeight="1" x14ac:dyDescent="0.2">
      <c r="A46" s="429" t="str">
        <f>+'6.2. sz.m.felh.kiadás'!B13</f>
        <v>Iskola fűtésrendszer javítása, felújítása:</v>
      </c>
      <c r="B46" s="431">
        <f>+'6.2. sz.m.felh.kiadás'!C13*1000</f>
        <v>1500000</v>
      </c>
    </row>
    <row r="47" spans="1:2" ht="15.75" customHeight="1" x14ac:dyDescent="0.2">
      <c r="A47" s="429" t="e">
        <f>+'6.2. sz.m.felh.kiadás'!#REF!</f>
        <v>#REF!</v>
      </c>
      <c r="B47" s="431" t="e">
        <f>+'6.2. sz.m.felh.kiadás'!#REF!*1000</f>
        <v>#REF!</v>
      </c>
    </row>
    <row r="48" spans="1:2" ht="15.75" customHeight="1" x14ac:dyDescent="0.2">
      <c r="A48" s="429" t="e">
        <f>+'6.2. sz.m.felh.kiadás'!#REF!</f>
        <v>#REF!</v>
      </c>
      <c r="B48" s="431" t="e">
        <f>+'6.2. sz.m.felh.kiadás'!#REF!*1000</f>
        <v>#REF!</v>
      </c>
    </row>
    <row r="49" spans="1:2" ht="15.75" customHeight="1" x14ac:dyDescent="0.2">
      <c r="A49" s="429" t="e">
        <f>+'6.2. sz.m.felh.kiadás'!#REF!</f>
        <v>#REF!</v>
      </c>
      <c r="B49" s="431" t="e">
        <f>+'6.2. sz.m.felh.kiadás'!#REF!*1000</f>
        <v>#REF!</v>
      </c>
    </row>
    <row r="50" spans="1:2" ht="15.75" customHeight="1" x14ac:dyDescent="0.2">
      <c r="A50" s="429" t="e">
        <f>+'6.2. sz.m.felh.kiadás'!#REF!</f>
        <v>#REF!</v>
      </c>
      <c r="B50" s="431" t="e">
        <f>+'6.2. sz.m.felh.kiadás'!#REF!*1000</f>
        <v>#REF!</v>
      </c>
    </row>
    <row r="51" spans="1:2" ht="15.75" customHeight="1" x14ac:dyDescent="0.2">
      <c r="A51" s="429" t="e">
        <f>+'6.2. sz.m.felh.kiadás'!#REF!</f>
        <v>#REF!</v>
      </c>
      <c r="B51" s="431" t="e">
        <f>+'6.2. sz.m.felh.kiadás'!#REF!*1000</f>
        <v>#REF!</v>
      </c>
    </row>
    <row r="52" spans="1:2" ht="15.75" customHeight="1" x14ac:dyDescent="0.2">
      <c r="A52" s="429" t="e">
        <f>+'6.2. sz.m.felh.kiadás'!#REF!</f>
        <v>#REF!</v>
      </c>
      <c r="B52" s="431" t="e">
        <f>+'6.2. sz.m.felh.kiadás'!#REF!*1000</f>
        <v>#REF!</v>
      </c>
    </row>
    <row r="53" spans="1:2" ht="15.75" customHeight="1" x14ac:dyDescent="0.2">
      <c r="A53" s="429" t="e">
        <f>+'6.2. sz.m.felh.kiadás'!#REF!</f>
        <v>#REF!</v>
      </c>
      <c r="B53" s="431" t="e">
        <f>+'6.2. sz.m.felh.kiadás'!#REF!*1000</f>
        <v>#REF!</v>
      </c>
    </row>
    <row r="54" spans="1:2" ht="15.75" customHeight="1" x14ac:dyDescent="0.2"/>
  </sheetData>
  <mergeCells count="4">
    <mergeCell ref="A2:B3"/>
    <mergeCell ref="A5:A6"/>
    <mergeCell ref="B5:B6"/>
    <mergeCell ref="A7:B7"/>
  </mergeCells>
  <phoneticPr fontId="1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5" orientation="portrait" horizontalDpi="4294967294" verticalDpi="0" r:id="rId1"/>
  <headerFooter alignWithMargins="0">
    <oddFooter>&amp;L&amp;D&amp;R&amp;A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I39"/>
  <sheetViews>
    <sheetView view="pageBreakPreview" zoomScale="60" zoomScaleNormal="100" workbookViewId="0">
      <selection activeCell="B10" sqref="B10"/>
    </sheetView>
  </sheetViews>
  <sheetFormatPr defaultColWidth="8.85546875" defaultRowHeight="12.75" x14ac:dyDescent="0.2"/>
  <cols>
    <col min="1" max="1" width="13.28515625" style="13" customWidth="1"/>
    <col min="2" max="2" width="54.28515625" style="13" customWidth="1"/>
    <col min="3" max="4" width="16.140625" style="13" customWidth="1"/>
    <col min="5" max="5" width="16.140625" style="115" customWidth="1"/>
    <col min="6" max="8" width="8.85546875" style="13"/>
    <col min="9" max="9" width="9.140625" style="23" bestFit="1" customWidth="1"/>
    <col min="10" max="16384" width="8.85546875" style="13"/>
  </cols>
  <sheetData>
    <row r="1" spans="1:9" s="135" customFormat="1" ht="38.25" x14ac:dyDescent="0.2">
      <c r="A1" s="595" t="s">
        <v>12</v>
      </c>
      <c r="B1" s="595" t="s">
        <v>13</v>
      </c>
      <c r="C1" s="596" t="s">
        <v>459</v>
      </c>
      <c r="D1" s="596" t="s">
        <v>535</v>
      </c>
      <c r="E1" s="597" t="s">
        <v>14</v>
      </c>
      <c r="I1" s="407"/>
    </row>
    <row r="2" spans="1:9" ht="15" customHeight="1" x14ac:dyDescent="0.2">
      <c r="A2" s="598"/>
      <c r="B2" s="599"/>
      <c r="C2" s="596" t="s">
        <v>117</v>
      </c>
      <c r="D2" s="596" t="s">
        <v>117</v>
      </c>
      <c r="E2" s="597" t="s">
        <v>15</v>
      </c>
    </row>
    <row r="3" spans="1:9" ht="15" customHeight="1" x14ac:dyDescent="0.2">
      <c r="A3" s="598"/>
      <c r="B3" s="599"/>
      <c r="C3" s="600"/>
      <c r="D3" s="600"/>
      <c r="E3" s="601"/>
    </row>
    <row r="4" spans="1:9" ht="15" customHeight="1" x14ac:dyDescent="0.2">
      <c r="A4" s="598">
        <v>1</v>
      </c>
      <c r="B4" s="598">
        <v>2</v>
      </c>
      <c r="C4" s="598">
        <v>3</v>
      </c>
      <c r="D4" s="598">
        <v>4</v>
      </c>
      <c r="E4" s="602" t="s">
        <v>132</v>
      </c>
    </row>
    <row r="5" spans="1:9" ht="15" customHeight="1" x14ac:dyDescent="0.2">
      <c r="A5" s="609" t="s">
        <v>16</v>
      </c>
      <c r="B5" s="609" t="s">
        <v>267</v>
      </c>
      <c r="C5" s="610">
        <v>947643</v>
      </c>
      <c r="D5" s="610">
        <f>+D6+D9+D13+D14</f>
        <v>967428</v>
      </c>
      <c r="E5" s="611">
        <f>+D5/C5</f>
        <v>1.0208781154928597</v>
      </c>
    </row>
    <row r="6" spans="1:9" s="31" customFormat="1" ht="15" customHeight="1" x14ac:dyDescent="0.2">
      <c r="A6" s="606" t="s">
        <v>296</v>
      </c>
      <c r="B6" s="606" t="s">
        <v>402</v>
      </c>
      <c r="C6" s="589">
        <v>486684</v>
      </c>
      <c r="D6" s="589">
        <f>+D7+D8</f>
        <v>474662</v>
      </c>
      <c r="E6" s="590">
        <f>+D6/C6</f>
        <v>0.97529814006624427</v>
      </c>
      <c r="F6" s="618"/>
      <c r="G6" s="618"/>
      <c r="I6" s="618"/>
    </row>
    <row r="7" spans="1:9" ht="15" customHeight="1" x14ac:dyDescent="0.2">
      <c r="A7" s="588" t="s">
        <v>403</v>
      </c>
      <c r="B7" s="588" t="s">
        <v>418</v>
      </c>
      <c r="C7" s="591">
        <v>472284</v>
      </c>
      <c r="D7" s="591">
        <f>+'3. sz. m._kiadások-bevételek'!D10</f>
        <v>473767</v>
      </c>
      <c r="E7" s="594">
        <f t="shared" ref="E7:E27" si="0">+D7/C7</f>
        <v>1.0031400597945304</v>
      </c>
    </row>
    <row r="8" spans="1:9" ht="15" customHeight="1" x14ac:dyDescent="0.2">
      <c r="A8" s="588" t="s">
        <v>404</v>
      </c>
      <c r="B8" s="588" t="s">
        <v>419</v>
      </c>
      <c r="C8" s="593">
        <v>14400</v>
      </c>
      <c r="D8" s="591">
        <f>+'3. sz. m._kiadások-bevételek'!D11</f>
        <v>895</v>
      </c>
      <c r="E8" s="594">
        <f t="shared" si="0"/>
        <v>6.2152777777777779E-2</v>
      </c>
    </row>
    <row r="9" spans="1:9" ht="15" customHeight="1" x14ac:dyDescent="0.2">
      <c r="A9" s="599" t="s">
        <v>302</v>
      </c>
      <c r="B9" s="599" t="s">
        <v>266</v>
      </c>
      <c r="C9" s="603">
        <v>419892</v>
      </c>
      <c r="D9" s="603">
        <f>+D10+D11+D12</f>
        <v>438666</v>
      </c>
      <c r="E9" s="604">
        <f t="shared" si="0"/>
        <v>1.0447114972421481</v>
      </c>
    </row>
    <row r="10" spans="1:9" ht="15" customHeight="1" x14ac:dyDescent="0.2">
      <c r="A10" s="588" t="s">
        <v>405</v>
      </c>
      <c r="B10" s="588" t="s">
        <v>303</v>
      </c>
      <c r="C10" s="593">
        <v>381839</v>
      </c>
      <c r="D10" s="593">
        <f>+'3. sz. m._kiadások-bevételek'!D13</f>
        <v>393907</v>
      </c>
      <c r="E10" s="594">
        <f t="shared" si="0"/>
        <v>1.0316049434447503</v>
      </c>
    </row>
    <row r="11" spans="1:9" ht="15" customHeight="1" x14ac:dyDescent="0.2">
      <c r="A11" s="588" t="s">
        <v>406</v>
      </c>
      <c r="B11" s="588" t="s">
        <v>6</v>
      </c>
      <c r="C11" s="593">
        <v>28953</v>
      </c>
      <c r="D11" s="593">
        <f>+'3. sz. m._kiadások-bevételek'!D14</f>
        <v>28259</v>
      </c>
      <c r="E11" s="594">
        <f t="shared" si="0"/>
        <v>0.97603011777708704</v>
      </c>
    </row>
    <row r="12" spans="1:9" ht="15" customHeight="1" x14ac:dyDescent="0.2">
      <c r="A12" s="588" t="s">
        <v>407</v>
      </c>
      <c r="B12" s="588" t="s">
        <v>307</v>
      </c>
      <c r="C12" s="593">
        <v>9100</v>
      </c>
      <c r="D12" s="593">
        <f>+'3. sz. m._kiadások-bevételek'!D15</f>
        <v>16500</v>
      </c>
      <c r="E12" s="594">
        <f t="shared" si="0"/>
        <v>1.8131868131868132</v>
      </c>
    </row>
    <row r="13" spans="1:9" ht="15" customHeight="1" x14ac:dyDescent="0.2">
      <c r="A13" s="599" t="s">
        <v>310</v>
      </c>
      <c r="B13" s="599" t="s">
        <v>265</v>
      </c>
      <c r="C13" s="586">
        <v>41067</v>
      </c>
      <c r="D13" s="586">
        <f>+'3. sz. m._kiadások-bevételek'!D16</f>
        <v>54100</v>
      </c>
      <c r="E13" s="587">
        <f t="shared" si="0"/>
        <v>1.3173594370175568</v>
      </c>
    </row>
    <row r="14" spans="1:9" ht="15" customHeight="1" x14ac:dyDescent="0.2">
      <c r="A14" s="599" t="s">
        <v>312</v>
      </c>
      <c r="B14" s="599" t="s">
        <v>408</v>
      </c>
      <c r="C14" s="586">
        <v>0</v>
      </c>
      <c r="D14" s="586">
        <f>+D15</f>
        <v>0</v>
      </c>
      <c r="E14" s="587"/>
    </row>
    <row r="15" spans="1:9" ht="15" hidden="1" customHeight="1" x14ac:dyDescent="0.2">
      <c r="A15" s="605" t="s">
        <v>409</v>
      </c>
      <c r="B15" s="605" t="s">
        <v>313</v>
      </c>
      <c r="C15" s="591"/>
      <c r="D15" s="591"/>
      <c r="E15" s="592"/>
    </row>
    <row r="16" spans="1:9" ht="15" customHeight="1" x14ac:dyDescent="0.2">
      <c r="A16" s="609" t="s">
        <v>18</v>
      </c>
      <c r="B16" s="609" t="s">
        <v>410</v>
      </c>
      <c r="C16" s="610">
        <v>153779</v>
      </c>
      <c r="D16" s="610">
        <f>+D17+D20+D23</f>
        <v>54014</v>
      </c>
      <c r="E16" s="611">
        <f>+D16/C16</f>
        <v>0.35124431814487023</v>
      </c>
    </row>
    <row r="17" spans="1:9" s="31" customFormat="1" ht="15" customHeight="1" x14ac:dyDescent="0.2">
      <c r="A17" s="606" t="s">
        <v>317</v>
      </c>
      <c r="B17" s="606" t="s">
        <v>420</v>
      </c>
      <c r="C17" s="616">
        <v>135279</v>
      </c>
      <c r="D17" s="616">
        <f>+D18+D19</f>
        <v>54014</v>
      </c>
      <c r="E17" s="617">
        <f t="shared" si="0"/>
        <v>0.3992785280790071</v>
      </c>
      <c r="I17" s="618"/>
    </row>
    <row r="18" spans="1:9" s="612" customFormat="1" ht="15" customHeight="1" x14ac:dyDescent="0.2">
      <c r="A18" s="605" t="s">
        <v>411</v>
      </c>
      <c r="B18" s="605" t="s">
        <v>318</v>
      </c>
      <c r="C18" s="607"/>
      <c r="D18" s="607"/>
      <c r="E18" s="608"/>
      <c r="I18" s="613"/>
    </row>
    <row r="19" spans="1:9" s="612" customFormat="1" ht="15" customHeight="1" x14ac:dyDescent="0.2">
      <c r="A19" s="605" t="s">
        <v>412</v>
      </c>
      <c r="B19" s="588" t="s">
        <v>421</v>
      </c>
      <c r="C19" s="614">
        <v>135279</v>
      </c>
      <c r="D19" s="614">
        <f>+'3. sz. m._kiadások-bevételek'!D22</f>
        <v>54014</v>
      </c>
      <c r="E19" s="615">
        <f t="shared" si="0"/>
        <v>0.3992785280790071</v>
      </c>
      <c r="I19" s="613"/>
    </row>
    <row r="20" spans="1:9" s="31" customFormat="1" ht="15" customHeight="1" x14ac:dyDescent="0.2">
      <c r="A20" s="606" t="s">
        <v>323</v>
      </c>
      <c r="B20" s="620" t="s">
        <v>100</v>
      </c>
      <c r="C20" s="589">
        <v>16500</v>
      </c>
      <c r="D20" s="589">
        <f>+D21+D22</f>
        <v>0</v>
      </c>
      <c r="E20" s="615">
        <f t="shared" si="0"/>
        <v>0</v>
      </c>
      <c r="I20" s="618"/>
    </row>
    <row r="21" spans="1:9" s="612" customFormat="1" ht="15" customHeight="1" x14ac:dyDescent="0.2">
      <c r="A21" s="605" t="s">
        <v>414</v>
      </c>
      <c r="B21" s="605" t="s">
        <v>324</v>
      </c>
      <c r="C21" s="607">
        <v>16500</v>
      </c>
      <c r="D21" s="607">
        <f>+'3. sz. m._kiadások-bevételek'!D24</f>
        <v>0</v>
      </c>
      <c r="E21" s="608">
        <f>+D21/C21</f>
        <v>0</v>
      </c>
      <c r="I21" s="613"/>
    </row>
    <row r="22" spans="1:9" s="612" customFormat="1" ht="15" customHeight="1" x14ac:dyDescent="0.2">
      <c r="A22" s="605" t="s">
        <v>413</v>
      </c>
      <c r="B22" s="605" t="s">
        <v>326</v>
      </c>
      <c r="C22" s="614"/>
      <c r="D22" s="614"/>
      <c r="E22" s="615"/>
      <c r="I22" s="613"/>
    </row>
    <row r="23" spans="1:9" s="31" customFormat="1" ht="15" customHeight="1" x14ac:dyDescent="0.2">
      <c r="A23" s="606" t="s">
        <v>329</v>
      </c>
      <c r="B23" s="606" t="s">
        <v>422</v>
      </c>
      <c r="C23" s="616">
        <v>2000</v>
      </c>
      <c r="D23" s="616">
        <f>+D24</f>
        <v>0</v>
      </c>
      <c r="E23" s="617">
        <f t="shared" si="0"/>
        <v>0</v>
      </c>
      <c r="I23" s="618"/>
    </row>
    <row r="24" spans="1:9" s="612" customFormat="1" ht="15" customHeight="1" x14ac:dyDescent="0.2">
      <c r="A24" s="605" t="s">
        <v>415</v>
      </c>
      <c r="B24" s="588" t="s">
        <v>330</v>
      </c>
      <c r="C24" s="607">
        <v>2000</v>
      </c>
      <c r="D24" s="607">
        <f>+'3. sz. m._kiadások-bevételek'!D27</f>
        <v>0</v>
      </c>
      <c r="E24" s="608">
        <f t="shared" si="0"/>
        <v>0</v>
      </c>
      <c r="I24" s="613"/>
    </row>
    <row r="25" spans="1:9" ht="15" customHeight="1" x14ac:dyDescent="0.2">
      <c r="A25" s="609" t="s">
        <v>19</v>
      </c>
      <c r="B25" s="609" t="s">
        <v>416</v>
      </c>
      <c r="C25" s="610">
        <v>180709</v>
      </c>
      <c r="D25" s="610">
        <f>+D26</f>
        <v>138802</v>
      </c>
      <c r="E25" s="611">
        <f>+D25/C25</f>
        <v>0.7680967743720567</v>
      </c>
    </row>
    <row r="26" spans="1:9" s="612" customFormat="1" ht="15" customHeight="1" x14ac:dyDescent="0.2">
      <c r="A26" s="605" t="s">
        <v>417</v>
      </c>
      <c r="B26" s="619" t="s">
        <v>40</v>
      </c>
      <c r="C26" s="614">
        <v>180709</v>
      </c>
      <c r="D26" s="614">
        <f>+'3. sz. m._kiadások-bevételek'!D30</f>
        <v>138802</v>
      </c>
      <c r="E26" s="608">
        <f t="shared" si="0"/>
        <v>0.7680967743720567</v>
      </c>
      <c r="I26" s="613"/>
    </row>
    <row r="27" spans="1:9" ht="15" customHeight="1" x14ac:dyDescent="0.2">
      <c r="A27" s="621" t="s">
        <v>20</v>
      </c>
      <c r="B27" s="621" t="s">
        <v>41</v>
      </c>
      <c r="C27" s="622">
        <v>1282131</v>
      </c>
      <c r="D27" s="622">
        <f>+D5+D16+D25</f>
        <v>1160244</v>
      </c>
      <c r="E27" s="623">
        <f t="shared" si="0"/>
        <v>0.90493405120069637</v>
      </c>
    </row>
    <row r="28" spans="1:9" ht="15" customHeight="1" x14ac:dyDescent="0.2">
      <c r="C28" s="62"/>
      <c r="D28" s="62"/>
    </row>
    <row r="29" spans="1:9" ht="15" customHeight="1" x14ac:dyDescent="0.2">
      <c r="C29" s="23"/>
      <c r="D29" s="23"/>
    </row>
    <row r="30" spans="1:9" ht="15" customHeight="1" x14ac:dyDescent="0.2"/>
    <row r="31" spans="1:9" ht="15" customHeight="1" x14ac:dyDescent="0.2"/>
    <row r="32" spans="1:9" ht="15" customHeight="1" x14ac:dyDescent="0.2"/>
    <row r="33" spans="3:9" ht="15" customHeight="1" x14ac:dyDescent="0.2">
      <c r="C33" s="21"/>
      <c r="D33" s="21"/>
      <c r="E33" s="111"/>
    </row>
    <row r="34" spans="3:9" ht="15" customHeight="1" x14ac:dyDescent="0.2">
      <c r="C34" s="21"/>
      <c r="D34" s="21"/>
      <c r="E34" s="111"/>
    </row>
    <row r="35" spans="3:9" x14ac:dyDescent="0.2">
      <c r="C35" s="21"/>
      <c r="D35" s="21"/>
      <c r="E35" s="111"/>
    </row>
    <row r="36" spans="3:9" x14ac:dyDescent="0.2">
      <c r="C36" s="21"/>
      <c r="D36" s="21"/>
      <c r="E36" s="111"/>
      <c r="I36" s="13"/>
    </row>
    <row r="37" spans="3:9" x14ac:dyDescent="0.2">
      <c r="C37" s="21"/>
      <c r="D37" s="21"/>
      <c r="E37" s="111"/>
      <c r="I37" s="13"/>
    </row>
    <row r="38" spans="3:9" x14ac:dyDescent="0.2">
      <c r="C38" s="21"/>
      <c r="D38" s="21"/>
      <c r="E38" s="111"/>
      <c r="I38" s="13"/>
    </row>
    <row r="39" spans="3:9" x14ac:dyDescent="0.2">
      <c r="C39" s="21"/>
      <c r="D39" s="21"/>
      <c r="E39" s="111"/>
      <c r="I39" s="13"/>
    </row>
  </sheetData>
  <phoneticPr fontId="11" type="noConversion"/>
  <printOptions horizontalCentered="1"/>
  <pageMargins left="0.35433070866141736" right="0.19685039370078741" top="1.5354330708661419" bottom="0.70866141732283472" header="0.39370078740157483" footer="0.15748031496062992"/>
  <pageSetup paperSize="9" scale="72" fitToHeight="2" orientation="landscape" horizontalDpi="4294967294" r:id="rId1"/>
  <headerFooter alignWithMargins="0">
    <oddHeader>&amp;L
4. sz.melléklet&amp;C&amp;"Arial,Félkövér"&amp;12Nagykovácsi Nagyközség Önkormányzatának
2017. évi bevételei kiemelt előirányzatokként&amp;R
adatok eFt-ban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>
    <pageSetUpPr fitToPage="1"/>
  </sheetPr>
  <dimension ref="A1:O13"/>
  <sheetViews>
    <sheetView view="pageBreakPreview" zoomScale="60" zoomScaleNormal="100" workbookViewId="0">
      <selection activeCell="B3" sqref="B3"/>
    </sheetView>
  </sheetViews>
  <sheetFormatPr defaultRowHeight="12.75" x14ac:dyDescent="0.2"/>
  <cols>
    <col min="1" max="1" width="7.140625" style="3" customWidth="1"/>
    <col min="2" max="2" width="64.5703125" style="3" bestFit="1" customWidth="1"/>
    <col min="3" max="3" width="13.7109375" style="815" bestFit="1" customWidth="1"/>
    <col min="4" max="4" width="13.7109375" style="465" hidden="1" customWidth="1"/>
    <col min="5" max="5" width="20" style="466" hidden="1" customWidth="1"/>
    <col min="6" max="6" width="9.140625" style="171" hidden="1" customWidth="1"/>
    <col min="7" max="7" width="13.7109375" style="465" hidden="1" customWidth="1"/>
    <col min="8" max="8" width="9.140625" style="171" hidden="1" customWidth="1"/>
    <col min="9" max="9" width="13.7109375" style="465" hidden="1" customWidth="1"/>
    <col min="10" max="10" width="9.140625" style="171" hidden="1" customWidth="1"/>
    <col min="11" max="11" width="13.7109375" style="465" hidden="1" customWidth="1"/>
    <col min="12" max="14" width="0" style="171" hidden="1" customWidth="1"/>
    <col min="15" max="15" width="9.140625" style="171"/>
    <col min="16" max="16384" width="9.140625" style="3"/>
  </cols>
  <sheetData>
    <row r="1" spans="1:11" s="48" customFormat="1" ht="15.75" thickBot="1" x14ac:dyDescent="0.25">
      <c r="C1" s="812"/>
      <c r="D1" s="658"/>
      <c r="E1" s="659"/>
      <c r="G1" s="658"/>
      <c r="I1" s="658"/>
      <c r="K1" s="658"/>
    </row>
    <row r="2" spans="1:11" s="666" customFormat="1" ht="45" customHeight="1" thickBot="1" x14ac:dyDescent="0.3">
      <c r="A2" s="660"/>
      <c r="B2" s="661"/>
      <c r="C2" s="813"/>
      <c r="D2" s="662"/>
      <c r="E2" s="663"/>
      <c r="F2" s="664"/>
      <c r="G2" s="665"/>
      <c r="H2" s="664"/>
      <c r="I2" s="665"/>
      <c r="J2" s="664"/>
      <c r="K2" s="665"/>
    </row>
    <row r="3" spans="1:11" s="48" customFormat="1" ht="50.25" customHeight="1" thickBot="1" x14ac:dyDescent="0.3">
      <c r="A3" s="667"/>
      <c r="B3" s="668" t="s">
        <v>3</v>
      </c>
      <c r="C3" s="669"/>
      <c r="D3" s="670" t="s">
        <v>177</v>
      </c>
      <c r="E3" s="671" t="s">
        <v>178</v>
      </c>
      <c r="F3" s="669" t="s">
        <v>285</v>
      </c>
      <c r="G3" s="669" t="s">
        <v>286</v>
      </c>
      <c r="H3" s="669" t="s">
        <v>179</v>
      </c>
      <c r="I3" s="669" t="s">
        <v>180</v>
      </c>
      <c r="J3" s="669" t="s">
        <v>181</v>
      </c>
      <c r="K3" s="669" t="s">
        <v>182</v>
      </c>
    </row>
    <row r="4" spans="1:11" s="48" customFormat="1" ht="15.75" x14ac:dyDescent="0.25">
      <c r="A4" s="667"/>
      <c r="B4" s="672"/>
      <c r="C4" s="673"/>
      <c r="D4" s="674" t="e">
        <f>SUM(#REF!)</f>
        <v>#REF!</v>
      </c>
      <c r="E4" s="675" t="e">
        <f>+D4/#REF!</f>
        <v>#REF!</v>
      </c>
      <c r="F4" s="673" t="e">
        <f>SUM(#REF!)</f>
        <v>#REF!</v>
      </c>
      <c r="G4" s="673" t="e">
        <f>SUM(#REF!)</f>
        <v>#REF!</v>
      </c>
      <c r="H4" s="673" t="e">
        <f>SUM(#REF!)</f>
        <v>#REF!</v>
      </c>
      <c r="I4" s="673" t="e">
        <f t="shared" ref="I4:I8" si="0">+G4+H4</f>
        <v>#REF!</v>
      </c>
      <c r="J4" s="673" t="e">
        <f>SUM(#REF!)</f>
        <v>#REF!</v>
      </c>
      <c r="K4" s="673" t="e">
        <f t="shared" ref="K4:K8" si="1">+I4+J4</f>
        <v>#REF!</v>
      </c>
    </row>
    <row r="5" spans="1:11" s="682" customFormat="1" ht="15.75" x14ac:dyDescent="0.25">
      <c r="A5" s="676"/>
      <c r="B5" s="677" t="s">
        <v>426</v>
      </c>
      <c r="C5" s="678"/>
      <c r="D5" s="679"/>
      <c r="E5" s="680"/>
      <c r="F5" s="678"/>
      <c r="G5" s="681"/>
      <c r="H5" s="678"/>
      <c r="I5" s="681">
        <f t="shared" si="0"/>
        <v>0</v>
      </c>
      <c r="J5" s="678"/>
      <c r="K5" s="681">
        <f t="shared" si="1"/>
        <v>0</v>
      </c>
    </row>
    <row r="6" spans="1:11" s="48" customFormat="1" ht="15" x14ac:dyDescent="0.2">
      <c r="A6" s="676"/>
      <c r="B6" s="834" t="s">
        <v>475</v>
      </c>
      <c r="C6" s="681">
        <v>54014</v>
      </c>
      <c r="D6" s="683"/>
      <c r="E6" s="684" t="e">
        <f>+D6/#REF!</f>
        <v>#REF!</v>
      </c>
      <c r="F6" s="681"/>
      <c r="G6" s="681">
        <f>+C6+F6</f>
        <v>54014</v>
      </c>
      <c r="H6" s="681"/>
      <c r="I6" s="681">
        <f t="shared" si="0"/>
        <v>54014</v>
      </c>
      <c r="J6" s="681"/>
      <c r="K6" s="681">
        <f t="shared" si="1"/>
        <v>54014</v>
      </c>
    </row>
    <row r="7" spans="1:11" s="48" customFormat="1" ht="18" customHeight="1" thickBot="1" x14ac:dyDescent="0.3">
      <c r="A7" s="685"/>
      <c r="B7" s="686" t="s">
        <v>427</v>
      </c>
      <c r="C7" s="673">
        <f>SUM(C6:C6)</f>
        <v>54014</v>
      </c>
      <c r="D7" s="687">
        <f>SUM(D6:D6)</f>
        <v>0</v>
      </c>
      <c r="E7" s="688" t="e">
        <f>+D7/#REF!</f>
        <v>#REF!</v>
      </c>
      <c r="F7" s="689">
        <f>SUM(F6:F6)</f>
        <v>0</v>
      </c>
      <c r="G7" s="689">
        <f>+C7+F7</f>
        <v>54014</v>
      </c>
      <c r="H7" s="689">
        <f>SUM(H6:H6)</f>
        <v>0</v>
      </c>
      <c r="I7" s="689">
        <f t="shared" si="0"/>
        <v>54014</v>
      </c>
      <c r="J7" s="689">
        <f>SUM(J6:J6)</f>
        <v>0</v>
      </c>
      <c r="K7" s="689">
        <f t="shared" si="1"/>
        <v>54014</v>
      </c>
    </row>
    <row r="8" spans="1:11" s="48" customFormat="1" ht="31.5" customHeight="1" thickBot="1" x14ac:dyDescent="0.3">
      <c r="A8" s="690"/>
      <c r="B8" s="691" t="s">
        <v>428</v>
      </c>
      <c r="C8" s="814">
        <f>C4+C7</f>
        <v>54014</v>
      </c>
      <c r="D8" s="692" t="e">
        <f>D4+D7+#REF!</f>
        <v>#REF!</v>
      </c>
      <c r="E8" s="693" t="e">
        <f>+D8/#REF!</f>
        <v>#REF!</v>
      </c>
      <c r="F8" s="694" t="e">
        <f>F4+F7+#REF!</f>
        <v>#REF!</v>
      </c>
      <c r="G8" s="694" t="e">
        <f>+C8+F8</f>
        <v>#REF!</v>
      </c>
      <c r="H8" s="694" t="e">
        <f>H4+H7+#REF!</f>
        <v>#REF!</v>
      </c>
      <c r="I8" s="694" t="e">
        <f t="shared" si="0"/>
        <v>#REF!</v>
      </c>
      <c r="J8" s="694" t="e">
        <f>J4+J7+#REF!</f>
        <v>#REF!</v>
      </c>
      <c r="K8" s="694" t="e">
        <f t="shared" si="1"/>
        <v>#REF!</v>
      </c>
    </row>
    <row r="11" spans="1:11" ht="27" customHeight="1" x14ac:dyDescent="0.2"/>
    <row r="12" spans="1:11" x14ac:dyDescent="0.2">
      <c r="B12" s="170"/>
    </row>
    <row r="13" spans="1:11" x14ac:dyDescent="0.2">
      <c r="B13" s="170"/>
    </row>
  </sheetData>
  <phoneticPr fontId="11" type="noConversion"/>
  <printOptions horizontalCentered="1"/>
  <pageMargins left="0.27559055118110237" right="0.19685039370078741" top="1.3779527559055118" bottom="0.51181102362204722" header="0.35433070866141736" footer="0.27559055118110237"/>
  <pageSetup paperSize="9" orientation="landscape" horizontalDpi="4294967294" r:id="rId1"/>
  <headerFooter alignWithMargins="0">
    <oddHeader>&amp;L4.2..sz.melléklet&amp;C&amp;"Arial,Félkövér"Nagykovácsi Nagyközség Önkormányzatának
2017. évi felhalmozási bevételi előirányzatainak részletezése&amp;12
&amp;Radatok e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1">
    <tabColor indexed="45"/>
    <pageSetUpPr fitToPage="1"/>
  </sheetPr>
  <dimension ref="A1:J35"/>
  <sheetViews>
    <sheetView workbookViewId="0">
      <selection activeCell="F36" sqref="F36"/>
    </sheetView>
  </sheetViews>
  <sheetFormatPr defaultRowHeight="12.75" x14ac:dyDescent="0.2"/>
  <cols>
    <col min="1" max="1" width="7.140625" style="3" customWidth="1"/>
    <col min="2" max="2" width="64.5703125" style="3" bestFit="1" customWidth="1"/>
    <col min="3" max="3" width="16.42578125" style="3" customWidth="1"/>
    <col min="4" max="4" width="12.28515625" style="3" bestFit="1" customWidth="1"/>
    <col min="5" max="5" width="14.42578125" style="3" customWidth="1"/>
    <col min="6" max="6" width="12.28515625" style="3" bestFit="1" customWidth="1"/>
    <col min="7" max="7" width="13.28515625" style="3" customWidth="1"/>
    <col min="8" max="8" width="13.85546875" style="116" bestFit="1" customWidth="1"/>
    <col min="9" max="16384" width="9.140625" style="3"/>
  </cols>
  <sheetData>
    <row r="1" spans="1:10" ht="13.5" thickBot="1" x14ac:dyDescent="0.25"/>
    <row r="2" spans="1:10" s="139" customFormat="1" ht="39" thickBot="1" x14ac:dyDescent="0.25">
      <c r="A2" s="136"/>
      <c r="B2" s="137"/>
      <c r="C2" s="53" t="s">
        <v>118</v>
      </c>
      <c r="D2" s="53" t="s">
        <v>119</v>
      </c>
      <c r="E2" s="53" t="s">
        <v>127</v>
      </c>
      <c r="F2" s="53" t="s">
        <v>125</v>
      </c>
      <c r="G2" s="53" t="s">
        <v>126</v>
      </c>
      <c r="H2" s="138" t="s">
        <v>14</v>
      </c>
    </row>
    <row r="3" spans="1:10" ht="31.5" customHeight="1" thickBot="1" x14ac:dyDescent="0.25">
      <c r="A3" s="49" t="s">
        <v>5</v>
      </c>
      <c r="B3" s="42" t="s">
        <v>3</v>
      </c>
      <c r="C3" s="67" t="s">
        <v>37</v>
      </c>
      <c r="D3" s="67" t="s">
        <v>37</v>
      </c>
      <c r="E3" s="67" t="s">
        <v>37</v>
      </c>
      <c r="F3" s="67" t="s">
        <v>37</v>
      </c>
      <c r="G3" s="67" t="s">
        <v>37</v>
      </c>
      <c r="H3" s="112" t="s">
        <v>15</v>
      </c>
    </row>
    <row r="4" spans="1:10" x14ac:dyDescent="0.2">
      <c r="A4" s="5"/>
      <c r="B4" s="100" t="s">
        <v>7</v>
      </c>
      <c r="C4" s="107"/>
      <c r="D4" s="107"/>
      <c r="E4" s="107"/>
      <c r="F4" s="107"/>
      <c r="G4" s="107"/>
      <c r="H4" s="117"/>
    </row>
    <row r="5" spans="1:10" x14ac:dyDescent="0.2">
      <c r="A5" s="5">
        <v>1</v>
      </c>
      <c r="B5" s="101" t="s">
        <v>8</v>
      </c>
      <c r="C5" s="68">
        <v>173107</v>
      </c>
      <c r="D5" s="68">
        <v>0</v>
      </c>
      <c r="E5" s="68">
        <f>+C5+D5</f>
        <v>173107</v>
      </c>
      <c r="F5" s="68">
        <f t="shared" ref="F5:F11" si="0">+G5-E5</f>
        <v>0</v>
      </c>
      <c r="G5" s="68">
        <v>173107</v>
      </c>
      <c r="H5" s="118">
        <f t="shared" ref="H5:H14" si="1">+G5/E5</f>
        <v>1</v>
      </c>
      <c r="I5" s="125"/>
    </row>
    <row r="6" spans="1:10" x14ac:dyDescent="0.2">
      <c r="A6" s="5">
        <v>2</v>
      </c>
      <c r="B6" s="101" t="s">
        <v>44</v>
      </c>
      <c r="C6" s="69">
        <f>61200</f>
        <v>61200</v>
      </c>
      <c r="D6" s="69">
        <v>0</v>
      </c>
      <c r="E6" s="68">
        <f t="shared" ref="E6:E11" si="2">+C6+D6</f>
        <v>61200</v>
      </c>
      <c r="F6" s="69">
        <f t="shared" si="0"/>
        <v>0</v>
      </c>
      <c r="G6" s="69">
        <f>61200</f>
        <v>61200</v>
      </c>
      <c r="H6" s="118">
        <f t="shared" si="1"/>
        <v>1</v>
      </c>
      <c r="I6" s="125"/>
    </row>
    <row r="7" spans="1:10" x14ac:dyDescent="0.2">
      <c r="A7" s="5">
        <v>4</v>
      </c>
      <c r="B7" s="7" t="s">
        <v>33</v>
      </c>
      <c r="C7" s="70">
        <f>31285</f>
        <v>31285</v>
      </c>
      <c r="D7" s="70">
        <v>0</v>
      </c>
      <c r="E7" s="68">
        <f t="shared" si="2"/>
        <v>31285</v>
      </c>
      <c r="F7" s="70">
        <f t="shared" si="0"/>
        <v>0</v>
      </c>
      <c r="G7" s="70">
        <f>31285</f>
        <v>31285</v>
      </c>
      <c r="H7" s="118">
        <f t="shared" si="1"/>
        <v>1</v>
      </c>
      <c r="I7" s="125"/>
    </row>
    <row r="8" spans="1:10" x14ac:dyDescent="0.2">
      <c r="A8" s="5">
        <v>5</v>
      </c>
      <c r="B8" s="6" t="s">
        <v>9</v>
      </c>
      <c r="C8" s="68">
        <f>8000</f>
        <v>8000</v>
      </c>
      <c r="D8" s="68">
        <v>4000</v>
      </c>
      <c r="E8" s="68">
        <f t="shared" si="2"/>
        <v>12000</v>
      </c>
      <c r="F8" s="68">
        <f t="shared" si="0"/>
        <v>0</v>
      </c>
      <c r="G8" s="68">
        <f>15000*0.8</f>
        <v>12000</v>
      </c>
      <c r="H8" s="118">
        <f t="shared" si="1"/>
        <v>1</v>
      </c>
      <c r="I8" s="125"/>
    </row>
    <row r="9" spans="1:10" x14ac:dyDescent="0.2">
      <c r="A9" s="5">
        <v>6</v>
      </c>
      <c r="B9" s="56" t="s">
        <v>120</v>
      </c>
      <c r="C9" s="68"/>
      <c r="D9" s="68">
        <v>10000</v>
      </c>
      <c r="E9" s="68">
        <f t="shared" si="2"/>
        <v>10000</v>
      </c>
      <c r="F9" s="68">
        <f t="shared" si="0"/>
        <v>0</v>
      </c>
      <c r="G9" s="68">
        <f>12500*0.8</f>
        <v>10000</v>
      </c>
      <c r="H9" s="118">
        <f t="shared" si="1"/>
        <v>1</v>
      </c>
      <c r="I9" s="125"/>
    </row>
    <row r="10" spans="1:10" x14ac:dyDescent="0.2">
      <c r="A10" s="5">
        <v>7</v>
      </c>
      <c r="B10" s="126" t="s">
        <v>121</v>
      </c>
      <c r="C10" s="68"/>
      <c r="D10" s="68">
        <v>12960</v>
      </c>
      <c r="E10" s="68">
        <f t="shared" si="2"/>
        <v>12960</v>
      </c>
      <c r="F10" s="68">
        <f t="shared" si="0"/>
        <v>0</v>
      </c>
      <c r="G10" s="68">
        <f>16200*0.8</f>
        <v>12960</v>
      </c>
      <c r="H10" s="118">
        <f t="shared" si="1"/>
        <v>1</v>
      </c>
      <c r="I10" s="125"/>
    </row>
    <row r="11" spans="1:10" s="11" customFormat="1" x14ac:dyDescent="0.2">
      <c r="A11" s="9">
        <v>8</v>
      </c>
      <c r="B11" s="132" t="s">
        <v>122</v>
      </c>
      <c r="C11" s="68">
        <f>173107*0.25+61200*0.25+31285*0.25+8000*0.25</f>
        <v>68398</v>
      </c>
      <c r="D11" s="68">
        <v>6740</v>
      </c>
      <c r="E11" s="68">
        <f t="shared" si="2"/>
        <v>75138</v>
      </c>
      <c r="F11" s="68">
        <f t="shared" si="0"/>
        <v>0</v>
      </c>
      <c r="G11" s="68">
        <f>173107*0.25+61200*0.25+31285*0.25+12000*0.25+16200*0.2+12500*0.2</f>
        <v>75138</v>
      </c>
      <c r="H11" s="133">
        <f t="shared" si="1"/>
        <v>1</v>
      </c>
      <c r="I11" s="110"/>
    </row>
    <row r="12" spans="1:10" x14ac:dyDescent="0.2">
      <c r="A12" s="46">
        <v>9</v>
      </c>
      <c r="B12" s="102" t="s">
        <v>34</v>
      </c>
      <c r="C12" s="12">
        <f>SUM(C5:C11)</f>
        <v>341990</v>
      </c>
      <c r="D12" s="12">
        <f>SUM(D5:D11)</f>
        <v>33700</v>
      </c>
      <c r="E12" s="12">
        <f>SUM(E5:E11)</f>
        <v>375690</v>
      </c>
      <c r="F12" s="12">
        <f>SUM(F5:F11)</f>
        <v>0</v>
      </c>
      <c r="G12" s="12">
        <f>SUM(G5:G11)</f>
        <v>375690</v>
      </c>
      <c r="H12" s="119">
        <f t="shared" si="1"/>
        <v>1</v>
      </c>
      <c r="I12" s="125"/>
      <c r="J12" s="125"/>
    </row>
    <row r="13" spans="1:10" s="11" customFormat="1" x14ac:dyDescent="0.2">
      <c r="A13" s="47">
        <v>10</v>
      </c>
      <c r="B13" s="127" t="s">
        <v>124</v>
      </c>
      <c r="C13" s="12"/>
      <c r="D13" s="12">
        <v>45778</v>
      </c>
      <c r="E13" s="12">
        <f>+C13+D13</f>
        <v>45778</v>
      </c>
      <c r="F13" s="12">
        <f t="shared" ref="F13:F32" si="3">+G13-E13</f>
        <v>-0.39999999999417923</v>
      </c>
      <c r="G13" s="12">
        <f>57222*0.8</f>
        <v>45777.600000000006</v>
      </c>
      <c r="H13" s="120">
        <f t="shared" si="1"/>
        <v>0.99999126217833911</v>
      </c>
      <c r="I13" s="110"/>
    </row>
    <row r="14" spans="1:10" s="11" customFormat="1" x14ac:dyDescent="0.2">
      <c r="A14" s="128"/>
      <c r="B14" s="129" t="s">
        <v>123</v>
      </c>
      <c r="C14" s="54"/>
      <c r="D14" s="54">
        <v>11444.4</v>
      </c>
      <c r="E14" s="54">
        <f>+C14+D14</f>
        <v>11444.4</v>
      </c>
      <c r="F14" s="54">
        <f t="shared" si="3"/>
        <v>0</v>
      </c>
      <c r="G14" s="54">
        <f>57222*0.2</f>
        <v>11444.400000000001</v>
      </c>
      <c r="H14" s="120">
        <f t="shared" si="1"/>
        <v>1.0000000000000002</v>
      </c>
      <c r="I14" s="110"/>
    </row>
    <row r="15" spans="1:10" s="11" customFormat="1" x14ac:dyDescent="0.2">
      <c r="A15" s="9"/>
      <c r="B15" s="99" t="s">
        <v>10</v>
      </c>
      <c r="C15" s="54"/>
      <c r="D15" s="54">
        <v>0</v>
      </c>
      <c r="E15" s="54"/>
      <c r="F15" s="54">
        <f t="shared" si="3"/>
        <v>0</v>
      </c>
      <c r="G15" s="54"/>
      <c r="H15" s="120"/>
      <c r="I15" s="125"/>
    </row>
    <row r="16" spans="1:10" s="11" customFormat="1" x14ac:dyDescent="0.2">
      <c r="A16" s="9">
        <v>11</v>
      </c>
      <c r="B16" s="98" t="s">
        <v>0</v>
      </c>
      <c r="C16" s="10">
        <v>3000</v>
      </c>
      <c r="D16" s="10">
        <v>0</v>
      </c>
      <c r="E16" s="68">
        <f>+C16+D16</f>
        <v>3000</v>
      </c>
      <c r="F16" s="10">
        <f t="shared" si="3"/>
        <v>0</v>
      </c>
      <c r="G16" s="10">
        <v>3000</v>
      </c>
      <c r="H16" s="120">
        <f t="shared" ref="H16:H24" si="4">+G16/E16</f>
        <v>1</v>
      </c>
      <c r="I16" s="125"/>
    </row>
    <row r="17" spans="1:9" s="11" customFormat="1" x14ac:dyDescent="0.2">
      <c r="A17" s="9">
        <v>12</v>
      </c>
      <c r="B17" s="130" t="s">
        <v>45</v>
      </c>
      <c r="C17" s="10">
        <v>80000</v>
      </c>
      <c r="D17" s="10">
        <v>0</v>
      </c>
      <c r="E17" s="68">
        <f>+C17+D17</f>
        <v>80000</v>
      </c>
      <c r="F17" s="10">
        <f t="shared" si="3"/>
        <v>0</v>
      </c>
      <c r="G17" s="10">
        <v>80000</v>
      </c>
      <c r="H17" s="120">
        <f t="shared" si="4"/>
        <v>1</v>
      </c>
      <c r="I17" s="110"/>
    </row>
    <row r="18" spans="1:9" s="11" customFormat="1" x14ac:dyDescent="0.2">
      <c r="A18" s="9">
        <v>13</v>
      </c>
      <c r="B18" s="103" t="s">
        <v>46</v>
      </c>
      <c r="C18" s="10">
        <v>65057</v>
      </c>
      <c r="D18" s="10">
        <v>0</v>
      </c>
      <c r="E18" s="68">
        <f>+C18+D18</f>
        <v>65057</v>
      </c>
      <c r="F18" s="10">
        <f t="shared" si="3"/>
        <v>0</v>
      </c>
      <c r="G18" s="10">
        <v>65057</v>
      </c>
      <c r="H18" s="120">
        <f t="shared" si="4"/>
        <v>1</v>
      </c>
      <c r="I18" s="110"/>
    </row>
    <row r="19" spans="1:9" x14ac:dyDescent="0.2">
      <c r="A19" s="9">
        <v>14</v>
      </c>
      <c r="B19" s="104" t="s">
        <v>129</v>
      </c>
      <c r="C19" s="10"/>
      <c r="D19" s="10"/>
      <c r="E19" s="10"/>
      <c r="F19" s="10">
        <v>10000</v>
      </c>
      <c r="G19" s="68">
        <f>+E19+F19</f>
        <v>10000</v>
      </c>
      <c r="H19" s="118"/>
      <c r="I19" s="125"/>
    </row>
    <row r="20" spans="1:9" x14ac:dyDescent="0.2">
      <c r="A20" s="9">
        <v>15</v>
      </c>
      <c r="B20" s="104" t="s">
        <v>128</v>
      </c>
      <c r="C20" s="10"/>
      <c r="D20" s="10"/>
      <c r="E20" s="10"/>
      <c r="F20" s="10">
        <v>15000</v>
      </c>
      <c r="G20" s="68">
        <f>+E20+F20</f>
        <v>15000</v>
      </c>
      <c r="H20" s="118"/>
      <c r="I20" s="125"/>
    </row>
    <row r="21" spans="1:9" s="11" customFormat="1" x14ac:dyDescent="0.2">
      <c r="A21" s="9">
        <v>16</v>
      </c>
      <c r="B21" s="103" t="s">
        <v>47</v>
      </c>
      <c r="C21" s="10">
        <v>103245</v>
      </c>
      <c r="D21" s="10">
        <v>0</v>
      </c>
      <c r="E21" s="68">
        <f>+C21+D21</f>
        <v>103245</v>
      </c>
      <c r="F21" s="10">
        <f t="shared" si="3"/>
        <v>0</v>
      </c>
      <c r="G21" s="10">
        <v>103245</v>
      </c>
      <c r="H21" s="120">
        <f t="shared" si="4"/>
        <v>1</v>
      </c>
      <c r="I21" s="110"/>
    </row>
    <row r="22" spans="1:9" s="11" customFormat="1" x14ac:dyDescent="0.2">
      <c r="A22" s="9">
        <v>17</v>
      </c>
      <c r="B22" s="131" t="s">
        <v>48</v>
      </c>
      <c r="C22" s="10">
        <v>1200</v>
      </c>
      <c r="D22" s="10">
        <v>0</v>
      </c>
      <c r="E22" s="68">
        <f>+C22+D22</f>
        <v>1200</v>
      </c>
      <c r="F22" s="10">
        <f t="shared" si="3"/>
        <v>0</v>
      </c>
      <c r="G22" s="10">
        <v>1200</v>
      </c>
      <c r="H22" s="120">
        <f t="shared" si="4"/>
        <v>1</v>
      </c>
      <c r="I22" s="110"/>
    </row>
    <row r="23" spans="1:9" x14ac:dyDescent="0.2">
      <c r="A23" s="9">
        <v>18</v>
      </c>
      <c r="B23" s="105" t="s">
        <v>130</v>
      </c>
      <c r="C23" s="10"/>
      <c r="D23" s="10"/>
      <c r="E23" s="10"/>
      <c r="F23" s="10">
        <v>137060</v>
      </c>
      <c r="G23" s="68">
        <f>+E23+F23</f>
        <v>137060</v>
      </c>
      <c r="H23" s="118"/>
      <c r="I23" s="125"/>
    </row>
    <row r="24" spans="1:9" ht="18" customHeight="1" thickBot="1" x14ac:dyDescent="0.25">
      <c r="A24" s="47">
        <v>19</v>
      </c>
      <c r="B24" s="106" t="s">
        <v>1</v>
      </c>
      <c r="C24" s="108">
        <f>SUM(C16:C22)</f>
        <v>252502</v>
      </c>
      <c r="D24" s="108">
        <v>0</v>
      </c>
      <c r="E24" s="108">
        <f>SUM(E16:E22)</f>
        <v>252502</v>
      </c>
      <c r="F24" s="108">
        <f>SUM(F16:F22)</f>
        <v>25000</v>
      </c>
      <c r="G24" s="108">
        <f>SUM(G16:G23)</f>
        <v>414562</v>
      </c>
      <c r="H24" s="121">
        <f t="shared" si="4"/>
        <v>1.6418166984815963</v>
      </c>
      <c r="I24" s="125"/>
    </row>
    <row r="25" spans="1:9" ht="22.5" hidden="1" customHeight="1" x14ac:dyDescent="0.2">
      <c r="A25" s="5"/>
      <c r="B25" s="59" t="s">
        <v>11</v>
      </c>
      <c r="C25" s="54"/>
      <c r="D25" s="54">
        <f t="shared" ref="D25:D31" si="5">+E25-C25</f>
        <v>0</v>
      </c>
      <c r="E25" s="54"/>
      <c r="F25" s="54">
        <f t="shared" si="3"/>
        <v>0</v>
      </c>
      <c r="G25" s="54"/>
      <c r="H25" s="122" t="e">
        <f t="shared" ref="H25:H31" si="6">+E25/C25</f>
        <v>#DIV/0!</v>
      </c>
      <c r="I25" s="125"/>
    </row>
    <row r="26" spans="1:9" ht="13.5" hidden="1" thickBot="1" x14ac:dyDescent="0.25">
      <c r="A26" s="5">
        <v>19</v>
      </c>
      <c r="B26" s="56" t="s">
        <v>31</v>
      </c>
      <c r="C26" s="54"/>
      <c r="D26" s="54">
        <f t="shared" si="5"/>
        <v>0</v>
      </c>
      <c r="E26" s="54"/>
      <c r="F26" s="54">
        <f t="shared" si="3"/>
        <v>0</v>
      </c>
      <c r="G26" s="54"/>
      <c r="H26" s="122" t="e">
        <f t="shared" si="6"/>
        <v>#DIV/0!</v>
      </c>
      <c r="I26" s="125"/>
    </row>
    <row r="27" spans="1:9" s="11" customFormat="1" ht="13.5" hidden="1" thickBot="1" x14ac:dyDescent="0.25">
      <c r="A27" s="9">
        <v>20</v>
      </c>
      <c r="B27" s="58" t="s">
        <v>32</v>
      </c>
      <c r="C27" s="10"/>
      <c r="D27" s="10">
        <f t="shared" si="5"/>
        <v>0</v>
      </c>
      <c r="E27" s="10"/>
      <c r="F27" s="10">
        <f t="shared" si="3"/>
        <v>0</v>
      </c>
      <c r="G27" s="10"/>
      <c r="H27" s="120" t="e">
        <f t="shared" si="6"/>
        <v>#DIV/0!</v>
      </c>
      <c r="I27" s="125"/>
    </row>
    <row r="28" spans="1:9" s="11" customFormat="1" ht="13.5" hidden="1" thickBot="1" x14ac:dyDescent="0.25">
      <c r="A28" s="9">
        <v>21</v>
      </c>
      <c r="B28" s="58" t="s">
        <v>30</v>
      </c>
      <c r="C28" s="10"/>
      <c r="D28" s="10">
        <f t="shared" si="5"/>
        <v>0</v>
      </c>
      <c r="E28" s="10"/>
      <c r="F28" s="10">
        <f t="shared" si="3"/>
        <v>0</v>
      </c>
      <c r="G28" s="10"/>
      <c r="H28" s="120" t="e">
        <f t="shared" si="6"/>
        <v>#DIV/0!</v>
      </c>
      <c r="I28" s="125"/>
    </row>
    <row r="29" spans="1:9" s="11" customFormat="1" ht="13.5" hidden="1" thickBot="1" x14ac:dyDescent="0.25">
      <c r="A29" s="9">
        <v>22</v>
      </c>
      <c r="B29" s="58" t="s">
        <v>36</v>
      </c>
      <c r="C29" s="10"/>
      <c r="D29" s="10">
        <f t="shared" si="5"/>
        <v>0</v>
      </c>
      <c r="E29" s="10"/>
      <c r="F29" s="10">
        <f t="shared" si="3"/>
        <v>0</v>
      </c>
      <c r="G29" s="10"/>
      <c r="H29" s="120" t="e">
        <f t="shared" si="6"/>
        <v>#DIV/0!</v>
      </c>
      <c r="I29" s="125"/>
    </row>
    <row r="30" spans="1:9" ht="28.5" hidden="1" customHeight="1" x14ac:dyDescent="0.2">
      <c r="A30" s="47">
        <v>23</v>
      </c>
      <c r="B30" s="57" t="s">
        <v>35</v>
      </c>
      <c r="C30" s="12">
        <f>SUM(C26:C29)</f>
        <v>0</v>
      </c>
      <c r="D30" s="12">
        <f t="shared" si="5"/>
        <v>0</v>
      </c>
      <c r="E30" s="12">
        <f>SUM(E26:E29)</f>
        <v>0</v>
      </c>
      <c r="F30" s="12">
        <f t="shared" si="3"/>
        <v>0</v>
      </c>
      <c r="G30" s="12">
        <f>SUM(G26:G29)</f>
        <v>0</v>
      </c>
      <c r="H30" s="119" t="e">
        <f t="shared" si="6"/>
        <v>#DIV/0!</v>
      </c>
      <c r="I30" s="125"/>
    </row>
    <row r="31" spans="1:9" s="11" customFormat="1" ht="24" hidden="1" customHeight="1" thickBot="1" x14ac:dyDescent="0.25">
      <c r="A31" s="52">
        <v>24</v>
      </c>
      <c r="B31" s="60" t="s">
        <v>29</v>
      </c>
      <c r="C31" s="55"/>
      <c r="D31" s="55">
        <f t="shared" si="5"/>
        <v>0</v>
      </c>
      <c r="E31" s="55"/>
      <c r="F31" s="55">
        <f t="shared" si="3"/>
        <v>0</v>
      </c>
      <c r="G31" s="55"/>
      <c r="H31" s="123" t="e">
        <f t="shared" si="6"/>
        <v>#DIV/0!</v>
      </c>
      <c r="I31" s="125"/>
    </row>
    <row r="32" spans="1:9" ht="31.5" customHeight="1" thickBot="1" x14ac:dyDescent="0.3">
      <c r="A32" s="4"/>
      <c r="B32" s="61" t="s">
        <v>38</v>
      </c>
      <c r="C32" s="71">
        <f>C12+C24+C13+C14</f>
        <v>594492</v>
      </c>
      <c r="D32" s="71">
        <f>D12+D24+D13+D14</f>
        <v>90922.4</v>
      </c>
      <c r="E32" s="71">
        <f>E12+E24+E13+E14</f>
        <v>685414.40000000002</v>
      </c>
      <c r="F32" s="71">
        <f t="shared" si="3"/>
        <v>162059.59999999998</v>
      </c>
      <c r="G32" s="71">
        <f>G12+G24+G13+G14</f>
        <v>847474</v>
      </c>
      <c r="H32" s="124">
        <f>+G32/E32</f>
        <v>1.2364403198999028</v>
      </c>
      <c r="I32" s="125"/>
    </row>
    <row r="33" spans="3:7" x14ac:dyDescent="0.2">
      <c r="C33" s="45"/>
      <c r="D33" s="125"/>
      <c r="E33" s="125"/>
      <c r="F33" s="125"/>
      <c r="G33" s="125"/>
    </row>
    <row r="34" spans="3:7" x14ac:dyDescent="0.2">
      <c r="C34" s="45"/>
    </row>
    <row r="35" spans="3:7" ht="27" customHeight="1" x14ac:dyDescent="0.2">
      <c r="C35" s="48"/>
    </row>
  </sheetData>
  <phoneticPr fontId="11" type="noConversion"/>
  <printOptions horizontalCentered="1"/>
  <pageMargins left="0.28999999999999998" right="0.19685039370078741" top="1.38" bottom="0.51181102362204722" header="0.34" footer="0.27559055118110237"/>
  <pageSetup paperSize="9" scale="94" orientation="landscape" r:id="rId1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pageSetUpPr fitToPage="1"/>
  </sheetPr>
  <dimension ref="A1:J41"/>
  <sheetViews>
    <sheetView view="pageBreakPreview" zoomScale="60" zoomScaleNormal="100" workbookViewId="0">
      <selection activeCell="M35" sqref="M35"/>
    </sheetView>
  </sheetViews>
  <sheetFormatPr defaultRowHeight="15" x14ac:dyDescent="0.25"/>
  <cols>
    <col min="1" max="1" width="61.7109375" style="271" customWidth="1"/>
    <col min="2" max="2" width="17.28515625" style="271" bestFit="1" customWidth="1"/>
    <col min="3" max="3" width="21.7109375" style="272" customWidth="1"/>
    <col min="4" max="8" width="14.7109375" style="582" customWidth="1"/>
    <col min="9" max="9" width="11.140625" bestFit="1" customWidth="1"/>
    <col min="10" max="10" width="11.5703125" style="256" bestFit="1" customWidth="1"/>
    <col min="11" max="16384" width="9.140625" style="256"/>
  </cols>
  <sheetData>
    <row r="1" spans="1:9" ht="12.75" x14ac:dyDescent="0.2">
      <c r="A1" s="882"/>
      <c r="B1" s="883"/>
      <c r="C1" s="883"/>
      <c r="D1" s="884"/>
      <c r="E1" s="884"/>
      <c r="F1" s="884"/>
      <c r="G1" s="884"/>
      <c r="H1" s="885"/>
    </row>
    <row r="2" spans="1:9" ht="14.25" x14ac:dyDescent="0.2">
      <c r="A2" s="348" t="s">
        <v>174</v>
      </c>
      <c r="B2" s="349" t="s">
        <v>226</v>
      </c>
      <c r="C2" s="350" t="s">
        <v>212</v>
      </c>
      <c r="D2" s="257" t="s">
        <v>145</v>
      </c>
      <c r="E2" s="257" t="s">
        <v>213</v>
      </c>
      <c r="F2" s="257" t="s">
        <v>175</v>
      </c>
      <c r="G2" s="763" t="s">
        <v>290</v>
      </c>
      <c r="H2" s="351" t="s">
        <v>173</v>
      </c>
    </row>
    <row r="3" spans="1:9" ht="12.75" x14ac:dyDescent="0.2">
      <c r="A3" s="352"/>
      <c r="B3" s="353"/>
      <c r="C3" s="353"/>
      <c r="D3" s="545"/>
      <c r="E3" s="545"/>
      <c r="F3" s="545"/>
      <c r="G3" s="764"/>
      <c r="H3" s="546"/>
    </row>
    <row r="4" spans="1:9" ht="12.75" x14ac:dyDescent="0.2">
      <c r="A4" s="357" t="s">
        <v>386</v>
      </c>
      <c r="B4" s="358" t="s">
        <v>527</v>
      </c>
      <c r="C4" s="359">
        <v>94027400</v>
      </c>
      <c r="D4" s="261"/>
      <c r="E4" s="262">
        <f>C4</f>
        <v>94027400</v>
      </c>
      <c r="F4" s="545"/>
      <c r="G4" s="764"/>
      <c r="H4" s="546"/>
      <c r="I4" s="171"/>
    </row>
    <row r="5" spans="1:9" ht="12.75" x14ac:dyDescent="0.2">
      <c r="A5" s="360" t="s">
        <v>387</v>
      </c>
      <c r="B5" s="361"/>
      <c r="C5" s="362">
        <f>C6+C7+C8+C9</f>
        <v>36377880</v>
      </c>
      <c r="D5" s="262">
        <f>+C5</f>
        <v>36377880</v>
      </c>
      <c r="E5" s="261"/>
      <c r="F5" s="545"/>
      <c r="G5" s="764"/>
      <c r="H5" s="546"/>
      <c r="I5" s="171"/>
    </row>
    <row r="6" spans="1:9" ht="12.75" x14ac:dyDescent="0.2">
      <c r="A6" s="552" t="s">
        <v>388</v>
      </c>
      <c r="B6" s="553"/>
      <c r="C6" s="773">
        <v>9441820</v>
      </c>
      <c r="D6" s="547"/>
      <c r="E6" s="548"/>
      <c r="F6" s="549"/>
      <c r="G6" s="765"/>
      <c r="H6" s="550"/>
      <c r="I6" s="551"/>
    </row>
    <row r="7" spans="1:9" ht="12.75" x14ac:dyDescent="0.2">
      <c r="A7" s="552" t="s">
        <v>389</v>
      </c>
      <c r="B7" s="553"/>
      <c r="C7" s="554">
        <v>19168000</v>
      </c>
      <c r="D7" s="547"/>
      <c r="E7" s="548"/>
      <c r="F7" s="549"/>
      <c r="G7" s="765"/>
      <c r="H7" s="550"/>
      <c r="I7" s="551"/>
    </row>
    <row r="8" spans="1:9" ht="12.75" x14ac:dyDescent="0.2">
      <c r="A8" s="552" t="s">
        <v>390</v>
      </c>
      <c r="B8" s="553"/>
      <c r="C8" s="554">
        <v>100000</v>
      </c>
      <c r="D8" s="547"/>
      <c r="E8" s="548"/>
      <c r="F8" s="549"/>
      <c r="G8" s="765"/>
      <c r="H8" s="550"/>
      <c r="I8" s="551"/>
    </row>
    <row r="9" spans="1:9" ht="12.75" x14ac:dyDescent="0.2">
      <c r="A9" s="552" t="s">
        <v>391</v>
      </c>
      <c r="B9" s="553"/>
      <c r="C9" s="554">
        <v>7668060</v>
      </c>
      <c r="D9" s="547"/>
      <c r="E9" s="548"/>
      <c r="F9" s="549"/>
      <c r="G9" s="765"/>
      <c r="H9" s="550"/>
      <c r="I9" s="551"/>
    </row>
    <row r="10" spans="1:9" ht="12.75" x14ac:dyDescent="0.2">
      <c r="A10" s="555" t="s">
        <v>392</v>
      </c>
      <c r="B10" s="556"/>
      <c r="C10" s="557">
        <v>12993910</v>
      </c>
      <c r="D10" s="558">
        <f>C10</f>
        <v>12993910</v>
      </c>
      <c r="E10" s="559"/>
      <c r="F10" s="560"/>
      <c r="G10" s="766"/>
      <c r="H10" s="561"/>
      <c r="I10" s="562"/>
    </row>
    <row r="11" spans="1:9" ht="12.75" x14ac:dyDescent="0.2">
      <c r="A11" s="555" t="s">
        <v>393</v>
      </c>
      <c r="B11" s="563"/>
      <c r="C11" s="557">
        <v>25500</v>
      </c>
      <c r="D11" s="558">
        <f>C11-E11</f>
        <v>25500</v>
      </c>
      <c r="E11" s="558"/>
      <c r="F11" s="564"/>
      <c r="G11" s="767"/>
      <c r="H11" s="565"/>
      <c r="I11" s="173"/>
    </row>
    <row r="12" spans="1:9" ht="12.75" x14ac:dyDescent="0.2">
      <c r="A12" s="555" t="s">
        <v>394</v>
      </c>
      <c r="B12" s="563"/>
      <c r="C12" s="557">
        <v>67000</v>
      </c>
      <c r="D12" s="558">
        <f>C12-E12</f>
        <v>67000</v>
      </c>
      <c r="E12" s="558"/>
      <c r="F12" s="564"/>
      <c r="G12" s="767"/>
      <c r="H12" s="565"/>
      <c r="I12" s="173"/>
    </row>
    <row r="13" spans="1:9" ht="12.75" x14ac:dyDescent="0.2">
      <c r="A13" s="566" t="s">
        <v>395</v>
      </c>
      <c r="B13" s="354"/>
      <c r="C13" s="355">
        <f>+C4+C5+C10+C11+C12</f>
        <v>143491690</v>
      </c>
      <c r="D13" s="355">
        <f>+D4+D5+D10+D11+D12</f>
        <v>49464290</v>
      </c>
      <c r="E13" s="260">
        <f>SUM(E4:E12)</f>
        <v>94027400</v>
      </c>
      <c r="F13" s="567"/>
      <c r="G13" s="768"/>
      <c r="H13" s="568"/>
    </row>
    <row r="14" spans="1:9" ht="12.75" x14ac:dyDescent="0.2">
      <c r="A14" s="569"/>
      <c r="B14" s="563"/>
      <c r="C14" s="570"/>
      <c r="D14" s="571"/>
      <c r="E14" s="564"/>
      <c r="F14" s="564"/>
      <c r="G14" s="767"/>
      <c r="H14" s="565"/>
      <c r="I14" s="1"/>
    </row>
    <row r="15" spans="1:9" ht="12.75" x14ac:dyDescent="0.2">
      <c r="A15" s="364" t="s">
        <v>227</v>
      </c>
      <c r="B15" s="365" t="s">
        <v>528</v>
      </c>
      <c r="C15" s="263">
        <v>88206027</v>
      </c>
      <c r="D15" s="545"/>
      <c r="E15" s="545"/>
      <c r="F15" s="263">
        <f>+C15</f>
        <v>88206027</v>
      </c>
      <c r="G15" s="769"/>
      <c r="H15" s="546"/>
    </row>
    <row r="16" spans="1:9" ht="12.75" x14ac:dyDescent="0.2">
      <c r="A16" s="364" t="s">
        <v>228</v>
      </c>
      <c r="B16" s="365" t="s">
        <v>229</v>
      </c>
      <c r="C16" s="263">
        <v>21600000</v>
      </c>
      <c r="D16" s="545"/>
      <c r="E16" s="545"/>
      <c r="F16" s="263">
        <f t="shared" ref="F16:F22" si="0">+C16</f>
        <v>21600000</v>
      </c>
      <c r="G16" s="769"/>
      <c r="H16" s="546"/>
    </row>
    <row r="17" spans="1:10" ht="12.75" x14ac:dyDescent="0.2">
      <c r="A17" s="364" t="s">
        <v>230</v>
      </c>
      <c r="B17" s="365" t="s">
        <v>528</v>
      </c>
      <c r="C17" s="263">
        <v>44103013</v>
      </c>
      <c r="D17" s="545"/>
      <c r="E17" s="545"/>
      <c r="F17" s="263">
        <f t="shared" si="0"/>
        <v>44103013</v>
      </c>
      <c r="G17" s="769"/>
      <c r="H17" s="546"/>
    </row>
    <row r="18" spans="1:10" ht="12.75" x14ac:dyDescent="0.2">
      <c r="A18" s="364" t="s">
        <v>231</v>
      </c>
      <c r="B18" s="365"/>
      <c r="C18" s="263">
        <v>1130720</v>
      </c>
      <c r="D18" s="545"/>
      <c r="E18" s="545"/>
      <c r="F18" s="263">
        <f t="shared" si="0"/>
        <v>1130720</v>
      </c>
      <c r="G18" s="769"/>
      <c r="H18" s="546"/>
    </row>
    <row r="19" spans="1:10" ht="12.75" x14ac:dyDescent="0.2">
      <c r="A19" s="364" t="s">
        <v>232</v>
      </c>
      <c r="B19" s="365" t="s">
        <v>229</v>
      </c>
      <c r="C19" s="263">
        <v>10800000</v>
      </c>
      <c r="D19" s="545"/>
      <c r="E19" s="545"/>
      <c r="F19" s="263">
        <f t="shared" si="0"/>
        <v>10800000</v>
      </c>
      <c r="G19" s="769"/>
      <c r="H19" s="546"/>
    </row>
    <row r="20" spans="1:10" ht="12.75" x14ac:dyDescent="0.2">
      <c r="A20" s="364" t="s">
        <v>233</v>
      </c>
      <c r="B20" s="365" t="s">
        <v>529</v>
      </c>
      <c r="C20" s="263">
        <v>18682067</v>
      </c>
      <c r="D20" s="545"/>
      <c r="E20" s="545"/>
      <c r="F20" s="263">
        <f t="shared" si="0"/>
        <v>18682067</v>
      </c>
      <c r="G20" s="769"/>
      <c r="H20" s="546"/>
    </row>
    <row r="21" spans="1:10" ht="12.75" x14ac:dyDescent="0.2">
      <c r="A21" s="364" t="s">
        <v>234</v>
      </c>
      <c r="B21" s="365" t="s">
        <v>529</v>
      </c>
      <c r="C21" s="263">
        <v>9341033</v>
      </c>
      <c r="D21" s="545"/>
      <c r="E21" s="545"/>
      <c r="F21" s="263">
        <f t="shared" si="0"/>
        <v>9341033</v>
      </c>
      <c r="G21" s="769"/>
      <c r="H21" s="546"/>
    </row>
    <row r="22" spans="1:10" ht="12.75" x14ac:dyDescent="0.2">
      <c r="A22" s="364" t="s">
        <v>396</v>
      </c>
      <c r="B22" s="572"/>
      <c r="C22" s="263">
        <v>3899000</v>
      </c>
      <c r="D22" s="545"/>
      <c r="E22" s="545"/>
      <c r="F22" s="263">
        <f t="shared" si="0"/>
        <v>3899000</v>
      </c>
      <c r="G22" s="769"/>
      <c r="H22" s="546"/>
    </row>
    <row r="23" spans="1:10" ht="12.75" x14ac:dyDescent="0.2">
      <c r="A23" s="566" t="s">
        <v>397</v>
      </c>
      <c r="B23" s="354"/>
      <c r="C23" s="355">
        <f>SUM(C15:C22)</f>
        <v>197761860</v>
      </c>
      <c r="D23" s="356"/>
      <c r="E23" s="260"/>
      <c r="F23" s="260">
        <f>SUM(F15:F22)</f>
        <v>197761860</v>
      </c>
      <c r="G23" s="770"/>
      <c r="H23" s="568"/>
    </row>
    <row r="24" spans="1:10" ht="12.75" x14ac:dyDescent="0.2">
      <c r="A24" s="364"/>
      <c r="B24" s="365"/>
      <c r="C24" s="263"/>
      <c r="D24" s="545"/>
      <c r="E24" s="545"/>
      <c r="F24" s="263"/>
      <c r="G24" s="769"/>
      <c r="H24" s="546"/>
    </row>
    <row r="25" spans="1:10" ht="12.75" x14ac:dyDescent="0.2">
      <c r="A25" s="364" t="s">
        <v>398</v>
      </c>
      <c r="B25" s="365"/>
      <c r="C25" s="263">
        <v>41911000</v>
      </c>
      <c r="D25" s="266">
        <f t="shared" ref="D25:D30" si="1">+C25</f>
        <v>41911000</v>
      </c>
      <c r="E25" s="564"/>
      <c r="F25" s="263"/>
      <c r="G25" s="769"/>
      <c r="H25" s="546"/>
    </row>
    <row r="26" spans="1:10" ht="12.75" x14ac:dyDescent="0.2">
      <c r="A26" s="364" t="s">
        <v>462</v>
      </c>
      <c r="B26" s="365" t="s">
        <v>531</v>
      </c>
      <c r="C26" s="263">
        <v>10376100</v>
      </c>
      <c r="D26" s="263"/>
      <c r="E26" s="545"/>
      <c r="F26" s="263"/>
      <c r="G26" s="769">
        <f>+C26</f>
        <v>10376100</v>
      </c>
      <c r="H26" s="546"/>
    </row>
    <row r="27" spans="1:10" ht="12.75" x14ac:dyDescent="0.2">
      <c r="A27" s="364" t="s">
        <v>463</v>
      </c>
      <c r="B27" s="365" t="s">
        <v>532</v>
      </c>
      <c r="C27" s="263">
        <v>741150</v>
      </c>
      <c r="D27" s="263"/>
      <c r="E27" s="545"/>
      <c r="F27" s="263"/>
      <c r="G27" s="769">
        <f>+C27</f>
        <v>741150</v>
      </c>
      <c r="H27" s="546"/>
      <c r="I27" s="37"/>
    </row>
    <row r="28" spans="1:10" s="264" customFormat="1" ht="12.75" x14ac:dyDescent="0.2">
      <c r="A28" s="364" t="s">
        <v>235</v>
      </c>
      <c r="B28" s="365" t="s">
        <v>530</v>
      </c>
      <c r="C28" s="263">
        <v>553600</v>
      </c>
      <c r="D28" s="263">
        <f t="shared" si="1"/>
        <v>553600</v>
      </c>
      <c r="E28" s="545"/>
      <c r="F28" s="263"/>
      <c r="G28" s="769"/>
      <c r="H28" s="546"/>
      <c r="I28"/>
    </row>
    <row r="29" spans="1:10" ht="12.75" x14ac:dyDescent="0.2">
      <c r="A29" s="364" t="s">
        <v>399</v>
      </c>
      <c r="B29" s="365" t="s">
        <v>533</v>
      </c>
      <c r="C29" s="263">
        <v>28021440</v>
      </c>
      <c r="D29" s="263">
        <f t="shared" si="1"/>
        <v>28021440</v>
      </c>
      <c r="E29" s="545"/>
      <c r="F29" s="263"/>
      <c r="G29" s="769"/>
      <c r="H29" s="546"/>
    </row>
    <row r="30" spans="1:10" ht="12.75" x14ac:dyDescent="0.2">
      <c r="A30" s="384" t="s">
        <v>400</v>
      </c>
      <c r="B30" s="365"/>
      <c r="C30" s="263">
        <v>40370663</v>
      </c>
      <c r="D30" s="266">
        <f t="shared" si="1"/>
        <v>40370663</v>
      </c>
      <c r="E30" s="545"/>
      <c r="F30" s="263"/>
      <c r="G30" s="769"/>
      <c r="H30" s="546"/>
    </row>
    <row r="31" spans="1:10" ht="12.75" x14ac:dyDescent="0.2">
      <c r="A31" s="364" t="s">
        <v>467</v>
      </c>
      <c r="B31" s="365" t="s">
        <v>532</v>
      </c>
      <c r="C31" s="263">
        <v>1508760</v>
      </c>
      <c r="D31" s="818"/>
      <c r="E31" s="545"/>
      <c r="F31" s="263"/>
      <c r="G31" s="818">
        <v>1508760</v>
      </c>
      <c r="H31" s="546"/>
      <c r="J31" s="270"/>
    </row>
    <row r="32" spans="1:10" ht="25.5" x14ac:dyDescent="0.2">
      <c r="A32" s="573" t="s">
        <v>401</v>
      </c>
      <c r="B32" s="363"/>
      <c r="C32" s="355">
        <f>SUM(C25:C31)</f>
        <v>123482713</v>
      </c>
      <c r="D32" s="355">
        <f>SUM(D25:D31)</f>
        <v>110856703</v>
      </c>
      <c r="E32" s="366"/>
      <c r="F32" s="355">
        <f>SUM(F25:F30)</f>
        <v>0</v>
      </c>
      <c r="G32" s="355">
        <f>SUM(G24:G31)</f>
        <v>12626010</v>
      </c>
      <c r="H32" s="568"/>
    </row>
    <row r="33" spans="1:10" ht="12.75" x14ac:dyDescent="0.2">
      <c r="A33" s="364"/>
      <c r="B33" s="365"/>
      <c r="C33" s="263"/>
      <c r="D33" s="262"/>
      <c r="E33" s="262">
        <f>+C33</f>
        <v>0</v>
      </c>
      <c r="F33" s="545"/>
      <c r="G33" s="764"/>
      <c r="H33" s="546"/>
    </row>
    <row r="34" spans="1:10" ht="12.75" x14ac:dyDescent="0.2">
      <c r="A34" s="574" t="s">
        <v>244</v>
      </c>
      <c r="B34" s="575" t="s">
        <v>534</v>
      </c>
      <c r="C34" s="576">
        <v>9031080</v>
      </c>
      <c r="D34" s="577"/>
      <c r="E34" s="577"/>
      <c r="F34" s="577"/>
      <c r="G34" s="771"/>
      <c r="H34" s="578">
        <f>+C34</f>
        <v>9031080</v>
      </c>
      <c r="I34" s="171"/>
    </row>
    <row r="35" spans="1:10" ht="13.5" thickBot="1" x14ac:dyDescent="0.25">
      <c r="A35" s="367"/>
      <c r="B35" s="368"/>
      <c r="C35" s="265"/>
      <c r="D35" s="544"/>
      <c r="E35" s="544"/>
      <c r="F35" s="544"/>
      <c r="G35" s="772"/>
      <c r="H35" s="369"/>
      <c r="I35" s="171"/>
    </row>
    <row r="36" spans="1:10" s="264" customFormat="1" thickBot="1" x14ac:dyDescent="0.25">
      <c r="A36" s="579" t="s">
        <v>176</v>
      </c>
      <c r="B36" s="580"/>
      <c r="C36" s="581">
        <f t="shared" ref="C36:H36" si="2">+C13+C23+C32+C34</f>
        <v>473767343</v>
      </c>
      <c r="D36" s="581">
        <f t="shared" si="2"/>
        <v>160320993</v>
      </c>
      <c r="E36" s="581">
        <f t="shared" si="2"/>
        <v>94027400</v>
      </c>
      <c r="F36" s="581">
        <f t="shared" si="2"/>
        <v>197761860</v>
      </c>
      <c r="G36" s="581">
        <f t="shared" si="2"/>
        <v>12626010</v>
      </c>
      <c r="H36" s="886">
        <f t="shared" si="2"/>
        <v>9031080</v>
      </c>
      <c r="I36" s="171"/>
    </row>
    <row r="37" spans="1:10" x14ac:dyDescent="0.25">
      <c r="A37" s="267"/>
      <c r="B37" s="267"/>
      <c r="C37" s="268"/>
      <c r="I37" s="583"/>
    </row>
    <row r="38" spans="1:10" x14ac:dyDescent="0.25">
      <c r="A38" s="269"/>
      <c r="B38" s="269"/>
      <c r="C38" s="258"/>
      <c r="D38" s="584"/>
      <c r="H38" s="584"/>
      <c r="I38" s="37"/>
    </row>
    <row r="39" spans="1:10" x14ac:dyDescent="0.25">
      <c r="A39" s="854"/>
      <c r="B39" s="854"/>
      <c r="D39" s="855"/>
      <c r="E39" s="855"/>
      <c r="F39" s="855"/>
      <c r="G39" s="855"/>
      <c r="H39" s="855"/>
      <c r="I39" s="1"/>
      <c r="J39" s="454"/>
    </row>
    <row r="40" spans="1:10" ht="18.75" x14ac:dyDescent="0.3">
      <c r="A40" s="854"/>
      <c r="B40" s="856"/>
      <c r="C40" s="585"/>
      <c r="D40" s="855"/>
      <c r="E40" s="855"/>
      <c r="F40" s="855"/>
      <c r="G40" s="855"/>
      <c r="H40" s="855"/>
      <c r="I40" s="1"/>
      <c r="J40" s="454"/>
    </row>
    <row r="41" spans="1:10" x14ac:dyDescent="0.25">
      <c r="A41" s="854"/>
      <c r="B41" s="854"/>
      <c r="D41" s="855"/>
      <c r="E41" s="855"/>
      <c r="F41" s="855"/>
      <c r="G41" s="855"/>
      <c r="H41" s="855"/>
      <c r="I41" s="1"/>
      <c r="J41" s="454"/>
    </row>
  </sheetData>
  <phoneticPr fontId="11" type="noConversion"/>
  <printOptions horizontalCentered="1"/>
  <pageMargins left="0.59055118110236227" right="0.39370078740157483" top="1.1023622047244095" bottom="0.59055118110236227" header="0.59055118110236227" footer="0.15748031496062992"/>
  <pageSetup scale="74" orientation="landscape" r:id="rId1"/>
  <headerFooter alignWithMargins="0">
    <oddHeader>&amp;L5 sz. melléklet&amp;C&amp;"Arial,Félkövér"Nagykovácsi Nagyközség Önkormányzat
 2017. évi állami támogatás részletezése &amp;Radatok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pageSetUpPr fitToPage="1"/>
  </sheetPr>
  <dimension ref="A1:BD41"/>
  <sheetViews>
    <sheetView view="pageBreakPreview" zoomScale="60" zoomScaleNormal="100" workbookViewId="0">
      <selection activeCell="L51" sqref="L50:L51"/>
    </sheetView>
  </sheetViews>
  <sheetFormatPr defaultColWidth="8.85546875" defaultRowHeight="12.75" x14ac:dyDescent="0.2"/>
  <cols>
    <col min="1" max="1" width="6.7109375" style="13" customWidth="1"/>
    <col min="2" max="2" width="48" style="13" customWidth="1"/>
    <col min="3" max="4" width="20.7109375" style="13" customWidth="1"/>
    <col min="5" max="5" width="20.7109375" style="115" customWidth="1"/>
    <col min="6" max="16384" width="8.85546875" style="13"/>
  </cols>
  <sheetData>
    <row r="1" spans="1:56" s="135" customFormat="1" ht="25.5" x14ac:dyDescent="0.2">
      <c r="A1" s="134" t="s">
        <v>12</v>
      </c>
      <c r="B1" s="134" t="s">
        <v>13</v>
      </c>
      <c r="C1" s="695" t="s">
        <v>460</v>
      </c>
      <c r="D1" s="695" t="s">
        <v>522</v>
      </c>
      <c r="E1" s="144" t="s">
        <v>42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</row>
    <row r="2" spans="1:56" x14ac:dyDescent="0.2">
      <c r="A2" s="14"/>
      <c r="B2" s="18"/>
      <c r="C2" s="15"/>
      <c r="D2" s="15"/>
      <c r="E2" s="113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</row>
    <row r="3" spans="1:56" s="26" customFormat="1" ht="12.75" customHeight="1" thickBot="1" x14ac:dyDescent="0.25">
      <c r="A3" s="16">
        <v>1</v>
      </c>
      <c r="B3" s="16">
        <v>2</v>
      </c>
      <c r="C3" s="16">
        <v>3</v>
      </c>
      <c r="D3" s="16">
        <v>4</v>
      </c>
      <c r="E3" s="114" t="s">
        <v>183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</row>
    <row r="4" spans="1:56" x14ac:dyDescent="0.2">
      <c r="A4" s="27" t="s">
        <v>22</v>
      </c>
      <c r="B4" s="19" t="s">
        <v>23</v>
      </c>
      <c r="C4" s="28"/>
      <c r="D4" s="28"/>
      <c r="E4" s="141"/>
    </row>
    <row r="5" spans="1:56" x14ac:dyDescent="0.2">
      <c r="A5" s="29" t="s">
        <v>349</v>
      </c>
      <c r="B5" s="20" t="s">
        <v>2</v>
      </c>
      <c r="C5" s="146">
        <v>19768</v>
      </c>
      <c r="D5" s="146">
        <f>SUM(D6:D7)</f>
        <v>33994</v>
      </c>
      <c r="E5" s="159">
        <f t="shared" ref="E5:E16" si="0">+D5/C5</f>
        <v>1.7196479158235531</v>
      </c>
    </row>
    <row r="6" spans="1:56" x14ac:dyDescent="0.2">
      <c r="A6" s="696" t="s">
        <v>429</v>
      </c>
      <c r="B6" s="150" t="s">
        <v>430</v>
      </c>
      <c r="C6" s="147"/>
      <c r="D6" s="147"/>
      <c r="E6" s="160"/>
    </row>
    <row r="7" spans="1:56" x14ac:dyDescent="0.2">
      <c r="A7" s="696" t="s">
        <v>431</v>
      </c>
      <c r="B7" s="150" t="s">
        <v>432</v>
      </c>
      <c r="C7" s="147">
        <v>19768</v>
      </c>
      <c r="D7" s="147">
        <f>+'3. sz. m._kiadások-bevételek'!D44</f>
        <v>33994</v>
      </c>
      <c r="E7" s="160">
        <f t="shared" si="0"/>
        <v>1.7196479158235531</v>
      </c>
    </row>
    <row r="8" spans="1:56" x14ac:dyDescent="0.2">
      <c r="A8" s="14" t="s">
        <v>351</v>
      </c>
      <c r="B8" s="20" t="s">
        <v>433</v>
      </c>
      <c r="C8" s="146">
        <v>5412</v>
      </c>
      <c r="D8" s="836">
        <f>+'3. sz. m._kiadások-bevételek'!D45</f>
        <v>7479</v>
      </c>
      <c r="E8" s="159">
        <f t="shared" si="0"/>
        <v>1.3819290465631928</v>
      </c>
    </row>
    <row r="9" spans="1:56" x14ac:dyDescent="0.2">
      <c r="A9" s="29" t="s">
        <v>353</v>
      </c>
      <c r="B9" s="152" t="s">
        <v>24</v>
      </c>
      <c r="C9" s="146">
        <v>194963</v>
      </c>
      <c r="D9" s="146">
        <f>SUM(D10:D14)</f>
        <v>257788</v>
      </c>
      <c r="E9" s="159">
        <f t="shared" si="0"/>
        <v>1.3222406302734364</v>
      </c>
    </row>
    <row r="10" spans="1:56" x14ac:dyDescent="0.2">
      <c r="A10" s="696" t="s">
        <v>434</v>
      </c>
      <c r="B10" s="151" t="s">
        <v>435</v>
      </c>
      <c r="C10" s="147">
        <v>2185</v>
      </c>
      <c r="D10" s="147">
        <v>2130</v>
      </c>
      <c r="E10" s="160">
        <f t="shared" si="0"/>
        <v>0.97482837528604116</v>
      </c>
    </row>
    <row r="11" spans="1:56" x14ac:dyDescent="0.2">
      <c r="A11" s="696" t="s">
        <v>436</v>
      </c>
      <c r="B11" s="151" t="s">
        <v>437</v>
      </c>
      <c r="C11" s="147">
        <v>0</v>
      </c>
      <c r="D11" s="147">
        <v>0</v>
      </c>
      <c r="E11" s="160"/>
    </row>
    <row r="12" spans="1:56" x14ac:dyDescent="0.2">
      <c r="A12" s="696" t="s">
        <v>438</v>
      </c>
      <c r="B12" s="151" t="s">
        <v>439</v>
      </c>
      <c r="C12" s="147">
        <v>140566</v>
      </c>
      <c r="D12" s="147">
        <v>187079</v>
      </c>
      <c r="E12" s="160">
        <f t="shared" si="0"/>
        <v>1.3308979411806554</v>
      </c>
    </row>
    <row r="13" spans="1:56" x14ac:dyDescent="0.2">
      <c r="A13" s="696" t="s">
        <v>440</v>
      </c>
      <c r="B13" s="151" t="s">
        <v>441</v>
      </c>
      <c r="C13" s="147">
        <v>11100</v>
      </c>
      <c r="D13" s="147">
        <v>12120</v>
      </c>
      <c r="E13" s="160">
        <f t="shared" si="0"/>
        <v>1.0918918918918918</v>
      </c>
    </row>
    <row r="14" spans="1:56" x14ac:dyDescent="0.2">
      <c r="A14" s="696" t="s">
        <v>442</v>
      </c>
      <c r="B14" s="151" t="s">
        <v>443</v>
      </c>
      <c r="C14" s="147">
        <v>41112</v>
      </c>
      <c r="D14" s="147">
        <v>56459</v>
      </c>
      <c r="E14" s="160">
        <f t="shared" si="0"/>
        <v>1.373297334111695</v>
      </c>
    </row>
    <row r="15" spans="1:56" x14ac:dyDescent="0.2">
      <c r="A15" s="29" t="s">
        <v>355</v>
      </c>
      <c r="B15" s="152" t="s">
        <v>444</v>
      </c>
      <c r="C15" s="146">
        <v>35763</v>
      </c>
      <c r="D15" s="146">
        <f>+'3. sz. m._kiadások-bevételek'!D47</f>
        <v>36898</v>
      </c>
      <c r="E15" s="159">
        <f t="shared" si="0"/>
        <v>1.0317367111260241</v>
      </c>
    </row>
    <row r="16" spans="1:56" ht="13.5" thickBot="1" x14ac:dyDescent="0.25">
      <c r="A16" s="29" t="s">
        <v>357</v>
      </c>
      <c r="B16" s="152" t="s">
        <v>445</v>
      </c>
      <c r="C16" s="146">
        <v>165638</v>
      </c>
      <c r="D16" s="146">
        <f>+'3. sz. m._kiadások-bevételek'!D48</f>
        <v>165638</v>
      </c>
      <c r="E16" s="159">
        <f t="shared" si="0"/>
        <v>1</v>
      </c>
    </row>
    <row r="17" spans="1:8" ht="13.5" thickBot="1" x14ac:dyDescent="0.25">
      <c r="A17" s="30" t="s">
        <v>16</v>
      </c>
      <c r="B17" s="153" t="s">
        <v>39</v>
      </c>
      <c r="C17" s="168">
        <v>421544</v>
      </c>
      <c r="D17" s="168">
        <f>+D5+D8+D9+D15+D16</f>
        <v>501797</v>
      </c>
      <c r="E17" s="143">
        <f>+D17/C17</f>
        <v>1.1903787030535364</v>
      </c>
    </row>
    <row r="18" spans="1:8" x14ac:dyDescent="0.2">
      <c r="A18" s="14"/>
      <c r="B18" s="17"/>
      <c r="C18" s="145"/>
      <c r="D18" s="145"/>
      <c r="E18" s="160"/>
    </row>
    <row r="19" spans="1:8" s="169" customFormat="1" x14ac:dyDescent="0.2">
      <c r="A19" s="29" t="s">
        <v>18</v>
      </c>
      <c r="B19" s="20" t="s">
        <v>25</v>
      </c>
      <c r="C19" s="148"/>
      <c r="D19" s="148"/>
      <c r="E19" s="161"/>
    </row>
    <row r="20" spans="1:8" s="169" customFormat="1" x14ac:dyDescent="0.2">
      <c r="A20" s="29" t="s">
        <v>366</v>
      </c>
      <c r="B20" s="57" t="s">
        <v>168</v>
      </c>
      <c r="C20" s="142">
        <v>33450</v>
      </c>
      <c r="D20" s="142">
        <f>+'3. sz. m._kiadások-bevételek'!D53</f>
        <v>33450</v>
      </c>
      <c r="E20" s="160">
        <f>+D20/C20</f>
        <v>1</v>
      </c>
    </row>
    <row r="21" spans="1:8" s="169" customFormat="1" x14ac:dyDescent="0.2">
      <c r="A21" s="29" t="s">
        <v>368</v>
      </c>
      <c r="B21" s="273" t="s">
        <v>167</v>
      </c>
      <c r="C21" s="142"/>
      <c r="D21" s="142"/>
      <c r="E21" s="162"/>
    </row>
    <row r="22" spans="1:8" ht="13.5" thickBot="1" x14ac:dyDescent="0.25">
      <c r="A22" s="29" t="s">
        <v>370</v>
      </c>
      <c r="B22" s="273" t="s">
        <v>446</v>
      </c>
      <c r="C22" s="142">
        <v>10000</v>
      </c>
      <c r="D22" s="142">
        <f>+'3. sz. m._kiadások-bevételek'!D57</f>
        <v>10000</v>
      </c>
      <c r="E22" s="162"/>
    </row>
    <row r="23" spans="1:8" ht="13.5" thickBot="1" x14ac:dyDescent="0.25">
      <c r="A23" s="32" t="s">
        <v>18</v>
      </c>
      <c r="B23" s="65" t="s">
        <v>26</v>
      </c>
      <c r="C23" s="168">
        <v>43450</v>
      </c>
      <c r="D23" s="168">
        <f>SUM(D20:D22)</f>
        <v>43450</v>
      </c>
      <c r="E23" s="143">
        <f>+D23/C23</f>
        <v>1</v>
      </c>
    </row>
    <row r="24" spans="1:8" x14ac:dyDescent="0.2">
      <c r="A24" s="29"/>
      <c r="B24" s="20"/>
      <c r="C24" s="148"/>
      <c r="D24" s="148"/>
      <c r="E24" s="161"/>
    </row>
    <row r="25" spans="1:8" x14ac:dyDescent="0.2">
      <c r="A25" s="29" t="s">
        <v>376</v>
      </c>
      <c r="B25" s="154" t="s">
        <v>447</v>
      </c>
      <c r="C25" s="146">
        <v>613996</v>
      </c>
      <c r="D25" s="146">
        <f>+D26</f>
        <v>614997</v>
      </c>
      <c r="E25" s="159">
        <f>+D25/C25</f>
        <v>1.0016303037804806</v>
      </c>
    </row>
    <row r="26" spans="1:8" x14ac:dyDescent="0.2">
      <c r="A26" s="33"/>
      <c r="B26" s="155" t="s">
        <v>448</v>
      </c>
      <c r="C26" s="149">
        <v>613996</v>
      </c>
      <c r="D26" s="149">
        <f>+'3. sz. m._kiadások-bevételek'!D63</f>
        <v>614997</v>
      </c>
      <c r="E26" s="163"/>
      <c r="F26" s="31"/>
    </row>
    <row r="27" spans="1:8" ht="13.5" thickBot="1" x14ac:dyDescent="0.25">
      <c r="A27" s="34"/>
      <c r="B27" s="22" t="s">
        <v>27</v>
      </c>
      <c r="C27" s="697">
        <v>1078990</v>
      </c>
      <c r="D27" s="697">
        <f>+D17+D23+D25</f>
        <v>1160244</v>
      </c>
      <c r="E27" s="698">
        <f>+D27/C27</f>
        <v>1.0753056098759024</v>
      </c>
    </row>
    <row r="28" spans="1:8" x14ac:dyDescent="0.2">
      <c r="C28" s="109"/>
      <c r="D28" s="109"/>
      <c r="E28" s="111"/>
    </row>
    <row r="29" spans="1:8" x14ac:dyDescent="0.2">
      <c r="B29" s="21"/>
      <c r="C29" s="618"/>
      <c r="D29" s="618"/>
      <c r="E29" s="699"/>
    </row>
    <row r="30" spans="1:8" x14ac:dyDescent="0.2">
      <c r="B30" s="700"/>
      <c r="C30" s="701"/>
      <c r="D30" s="701"/>
      <c r="E30" s="702"/>
      <c r="H30" s="23">
        <f>+D22+D23+D30</f>
        <v>53450</v>
      </c>
    </row>
    <row r="31" spans="1:8" x14ac:dyDescent="0.2">
      <c r="B31" s="21"/>
    </row>
    <row r="32" spans="1:8" x14ac:dyDescent="0.2">
      <c r="B32" s="21"/>
    </row>
    <row r="33" spans="2:2" x14ac:dyDescent="0.2">
      <c r="B33" s="21"/>
    </row>
    <row r="40" spans="2:2" ht="18" customHeight="1" x14ac:dyDescent="0.2"/>
    <row r="41" spans="2:2" ht="18.75" customHeight="1" x14ac:dyDescent="0.2"/>
  </sheetData>
  <phoneticPr fontId="11" type="noConversion"/>
  <printOptions horizontalCentered="1"/>
  <pageMargins left="0.62992125984251968" right="0.47244094488188981" top="1.5354330708661419" bottom="0.55118110236220474" header="0.51181102362204722" footer="0.27559055118110237"/>
  <pageSetup paperSize="9" scale="83" orientation="landscape" horizontalDpi="4294967294" r:id="rId1"/>
  <headerFooter alignWithMargins="0">
    <oddHeader>&amp;L6 sz.melléklet&amp;C&amp;"Arial,Félkövér"&amp;12Nagykovácsi Nagyközség Önkormányzatának
2017. évi kiadásai kiemelt előirányzatonként&amp;Radatok eFt-ban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/>
  <dimension ref="A1:R20"/>
  <sheetViews>
    <sheetView zoomScaleNormal="100" workbookViewId="0">
      <selection activeCell="C31" sqref="C31"/>
    </sheetView>
  </sheetViews>
  <sheetFormatPr defaultRowHeight="12.75" x14ac:dyDescent="0.2"/>
  <cols>
    <col min="1" max="1" width="10" style="830" bestFit="1" customWidth="1"/>
    <col min="2" max="2" width="67.7109375" style="171" customWidth="1"/>
    <col min="3" max="3" width="20.140625" style="171" bestFit="1" customWidth="1"/>
    <col min="4" max="4" width="13.85546875" style="175" hidden="1" customWidth="1"/>
    <col min="5" max="18" width="20.140625" style="171" hidden="1" customWidth="1"/>
    <col min="19" max="19" width="0" style="171" hidden="1" customWidth="1"/>
    <col min="20" max="20" width="17.85546875" style="171" bestFit="1" customWidth="1"/>
    <col min="21" max="21" width="18.85546875" style="171" bestFit="1" customWidth="1"/>
    <col min="22" max="16384" width="9.140625" style="171"/>
  </cols>
  <sheetData>
    <row r="1" spans="1:18" ht="13.5" thickBot="1" x14ac:dyDescent="0.25">
      <c r="A1" s="929" t="s">
        <v>457</v>
      </c>
      <c r="B1" s="930"/>
      <c r="C1" s="931"/>
    </row>
    <row r="2" spans="1:18" ht="53.25" customHeight="1" thickBot="1" x14ac:dyDescent="0.25">
      <c r="A2" s="827"/>
      <c r="B2" s="822" t="s">
        <v>3</v>
      </c>
      <c r="C2" s="823" t="s">
        <v>468</v>
      </c>
      <c r="D2" s="824" t="s">
        <v>136</v>
      </c>
      <c r="E2" s="50" t="s">
        <v>184</v>
      </c>
      <c r="F2" s="50" t="s">
        <v>185</v>
      </c>
      <c r="G2" s="50" t="s">
        <v>186</v>
      </c>
      <c r="H2" s="50" t="s">
        <v>187</v>
      </c>
      <c r="I2" s="237" t="s">
        <v>188</v>
      </c>
      <c r="J2" s="237" t="s">
        <v>189</v>
      </c>
      <c r="K2" s="50" t="s">
        <v>190</v>
      </c>
      <c r="L2" s="50" t="s">
        <v>191</v>
      </c>
      <c r="M2" s="67" t="s">
        <v>192</v>
      </c>
      <c r="N2" s="67" t="s">
        <v>193</v>
      </c>
      <c r="O2" s="67" t="s">
        <v>194</v>
      </c>
      <c r="P2" s="67" t="s">
        <v>195</v>
      </c>
      <c r="Q2" s="67" t="s">
        <v>196</v>
      </c>
      <c r="R2" s="50" t="s">
        <v>197</v>
      </c>
    </row>
    <row r="3" spans="1:18" s="173" customFormat="1" x14ac:dyDescent="0.2">
      <c r="A3" s="829">
        <v>1</v>
      </c>
      <c r="B3" s="875" t="s">
        <v>510</v>
      </c>
      <c r="C3" s="172">
        <v>13000</v>
      </c>
      <c r="D3" s="825"/>
      <c r="E3" s="172"/>
      <c r="F3" s="172">
        <f t="shared" ref="F3:F14" si="0">+C3+E3</f>
        <v>13000</v>
      </c>
      <c r="G3" s="172"/>
      <c r="H3" s="172">
        <f t="shared" ref="H3:H14" si="1">+F3+G3</f>
        <v>13000</v>
      </c>
      <c r="I3" s="172"/>
      <c r="J3" s="238">
        <f t="shared" ref="J3:J15" si="2">+I3/H3</f>
        <v>0</v>
      </c>
      <c r="K3" s="172"/>
      <c r="L3" s="172">
        <f t="shared" ref="L3:L14" si="3">+H3+K3</f>
        <v>13000</v>
      </c>
      <c r="M3" s="172"/>
      <c r="N3" s="172"/>
      <c r="O3" s="172"/>
      <c r="P3" s="172">
        <f>+N3+O3</f>
        <v>0</v>
      </c>
      <c r="Q3" s="172"/>
      <c r="R3" s="172">
        <f>+Q3-P3</f>
        <v>0</v>
      </c>
    </row>
    <row r="4" spans="1:18" ht="14.25" customHeight="1" x14ac:dyDescent="0.2">
      <c r="A4" s="828">
        <v>2</v>
      </c>
      <c r="B4" s="876" t="s">
        <v>511</v>
      </c>
      <c r="C4" s="172">
        <v>2000</v>
      </c>
      <c r="D4" s="825"/>
      <c r="E4" s="172"/>
      <c r="F4" s="172">
        <f t="shared" si="0"/>
        <v>2000</v>
      </c>
      <c r="G4" s="172"/>
      <c r="H4" s="172">
        <f t="shared" si="1"/>
        <v>2000</v>
      </c>
      <c r="I4" s="172"/>
      <c r="J4" s="238">
        <f t="shared" si="2"/>
        <v>0</v>
      </c>
      <c r="K4" s="172"/>
      <c r="L4" s="172">
        <f t="shared" si="3"/>
        <v>2000</v>
      </c>
      <c r="M4" s="172"/>
      <c r="N4" s="172"/>
      <c r="O4" s="172"/>
      <c r="P4" s="172">
        <f>+N4+O4</f>
        <v>0</v>
      </c>
      <c r="Q4" s="172"/>
      <c r="R4" s="172">
        <f>+Q4-P4</f>
        <v>0</v>
      </c>
    </row>
    <row r="5" spans="1:18" ht="14.25" customHeight="1" x14ac:dyDescent="0.2">
      <c r="A5" s="829">
        <v>3</v>
      </c>
      <c r="B5" s="876" t="s">
        <v>512</v>
      </c>
      <c r="C5" s="172">
        <v>400</v>
      </c>
      <c r="D5" s="825"/>
      <c r="E5" s="172"/>
      <c r="F5" s="172">
        <f t="shared" si="0"/>
        <v>400</v>
      </c>
      <c r="G5" s="172"/>
      <c r="H5" s="172">
        <f t="shared" si="1"/>
        <v>400</v>
      </c>
      <c r="I5" s="172"/>
      <c r="J5" s="238">
        <f t="shared" si="2"/>
        <v>0</v>
      </c>
      <c r="K5" s="172"/>
      <c r="L5" s="172">
        <f t="shared" si="3"/>
        <v>400</v>
      </c>
      <c r="M5" s="172"/>
      <c r="N5" s="172"/>
      <c r="O5" s="172"/>
      <c r="P5" s="172">
        <f>+N5+O5</f>
        <v>0</v>
      </c>
      <c r="Q5" s="172"/>
      <c r="R5" s="172">
        <f>+Q5-P5</f>
        <v>0</v>
      </c>
    </row>
    <row r="6" spans="1:18" ht="14.25" customHeight="1" x14ac:dyDescent="0.2">
      <c r="A6" s="829">
        <v>4</v>
      </c>
      <c r="B6" s="876" t="s">
        <v>513</v>
      </c>
      <c r="C6" s="172">
        <v>500</v>
      </c>
      <c r="D6" s="825"/>
      <c r="E6" s="179"/>
      <c r="F6" s="172"/>
      <c r="G6" s="179"/>
      <c r="H6" s="179"/>
      <c r="I6" s="179"/>
      <c r="J6" s="239"/>
      <c r="K6" s="179"/>
      <c r="L6" s="179"/>
      <c r="M6" s="179"/>
      <c r="N6" s="172"/>
      <c r="O6" s="179"/>
      <c r="P6" s="172"/>
      <c r="Q6" s="172"/>
      <c r="R6" s="172"/>
    </row>
    <row r="7" spans="1:18" ht="14.25" customHeight="1" x14ac:dyDescent="0.2">
      <c r="A7" s="828">
        <v>5</v>
      </c>
      <c r="B7" s="876" t="s">
        <v>514</v>
      </c>
      <c r="C7" s="172">
        <v>3300</v>
      </c>
      <c r="D7" s="825"/>
      <c r="E7" s="179"/>
      <c r="F7" s="172">
        <f t="shared" si="0"/>
        <v>3300</v>
      </c>
      <c r="G7" s="179"/>
      <c r="H7" s="179"/>
      <c r="I7" s="179"/>
      <c r="J7" s="239"/>
      <c r="K7" s="179"/>
      <c r="L7" s="179"/>
      <c r="M7" s="179"/>
      <c r="N7" s="172"/>
      <c r="O7" s="179"/>
      <c r="P7" s="172"/>
      <c r="Q7" s="172"/>
      <c r="R7" s="172"/>
    </row>
    <row r="8" spans="1:18" s="173" customFormat="1" x14ac:dyDescent="0.2">
      <c r="A8" s="829">
        <v>6</v>
      </c>
      <c r="B8" s="876" t="s">
        <v>515</v>
      </c>
      <c r="C8" s="172">
        <v>1500</v>
      </c>
      <c r="D8" s="825"/>
      <c r="E8" s="179"/>
      <c r="F8" s="179">
        <f t="shared" si="0"/>
        <v>1500</v>
      </c>
      <c r="G8" s="179"/>
      <c r="H8" s="179">
        <f t="shared" si="1"/>
        <v>1500</v>
      </c>
      <c r="I8" s="179"/>
      <c r="J8" s="239">
        <f t="shared" si="2"/>
        <v>0</v>
      </c>
      <c r="K8" s="179"/>
      <c r="L8" s="179">
        <f t="shared" si="3"/>
        <v>1500</v>
      </c>
      <c r="M8" s="179"/>
      <c r="N8" s="172"/>
      <c r="O8" s="179"/>
      <c r="P8" s="172">
        <f>+N8+O8</f>
        <v>0</v>
      </c>
      <c r="Q8" s="172"/>
      <c r="R8" s="172">
        <f>+Q8-P8</f>
        <v>0</v>
      </c>
    </row>
    <row r="9" spans="1:18" s="173" customFormat="1" x14ac:dyDescent="0.2">
      <c r="A9" s="829">
        <v>7</v>
      </c>
      <c r="B9" s="876" t="s">
        <v>516</v>
      </c>
      <c r="C9" s="172">
        <v>3000</v>
      </c>
      <c r="D9" s="825"/>
      <c r="E9" s="172"/>
      <c r="F9" s="172">
        <f t="shared" si="0"/>
        <v>3000</v>
      </c>
      <c r="G9" s="172"/>
      <c r="H9" s="172">
        <f t="shared" si="1"/>
        <v>3000</v>
      </c>
      <c r="I9" s="172"/>
      <c r="J9" s="238">
        <f t="shared" si="2"/>
        <v>0</v>
      </c>
      <c r="K9" s="172"/>
      <c r="L9" s="172">
        <f t="shared" si="3"/>
        <v>3000</v>
      </c>
      <c r="M9" s="172"/>
      <c r="N9" s="172"/>
      <c r="O9" s="172"/>
      <c r="P9" s="172">
        <f>+N9+O9</f>
        <v>0</v>
      </c>
      <c r="Q9" s="172"/>
      <c r="R9" s="172">
        <f>+Q9-P9</f>
        <v>0</v>
      </c>
    </row>
    <row r="10" spans="1:18" s="173" customFormat="1" x14ac:dyDescent="0.2">
      <c r="A10" s="828">
        <v>8</v>
      </c>
      <c r="B10" s="876" t="s">
        <v>517</v>
      </c>
      <c r="C10" s="172">
        <v>4000</v>
      </c>
      <c r="D10" s="825"/>
      <c r="E10" s="172"/>
      <c r="F10" s="172">
        <f t="shared" si="0"/>
        <v>4000</v>
      </c>
      <c r="G10" s="172"/>
      <c r="H10" s="172">
        <f t="shared" si="1"/>
        <v>4000</v>
      </c>
      <c r="I10" s="172"/>
      <c r="J10" s="238">
        <f t="shared" si="2"/>
        <v>0</v>
      </c>
      <c r="K10" s="172"/>
      <c r="L10" s="172">
        <f t="shared" si="3"/>
        <v>4000</v>
      </c>
      <c r="M10" s="172"/>
      <c r="N10" s="172"/>
      <c r="O10" s="172"/>
      <c r="P10" s="172"/>
      <c r="Q10" s="172"/>
      <c r="R10" s="172"/>
    </row>
    <row r="11" spans="1:18" s="173" customFormat="1" x14ac:dyDescent="0.2">
      <c r="A11" s="829">
        <v>9</v>
      </c>
      <c r="B11" s="876" t="s">
        <v>518</v>
      </c>
      <c r="C11" s="172">
        <v>500</v>
      </c>
      <c r="D11" s="825"/>
      <c r="E11" s="172"/>
      <c r="F11" s="172">
        <f t="shared" si="0"/>
        <v>500</v>
      </c>
      <c r="G11" s="172"/>
      <c r="H11" s="172">
        <f t="shared" si="1"/>
        <v>500</v>
      </c>
      <c r="I11" s="172"/>
      <c r="J11" s="238">
        <f t="shared" si="2"/>
        <v>0</v>
      </c>
      <c r="K11" s="172"/>
      <c r="L11" s="172">
        <f t="shared" si="3"/>
        <v>500</v>
      </c>
      <c r="M11" s="172"/>
      <c r="N11" s="172"/>
      <c r="O11" s="172"/>
      <c r="P11" s="172">
        <f>+N11+O11</f>
        <v>0</v>
      </c>
      <c r="Q11" s="172"/>
      <c r="R11" s="172">
        <f>+Q11-P11</f>
        <v>0</v>
      </c>
    </row>
    <row r="12" spans="1:18" s="173" customFormat="1" x14ac:dyDescent="0.2">
      <c r="A12" s="829">
        <v>10</v>
      </c>
      <c r="B12" s="876" t="s">
        <v>519</v>
      </c>
      <c r="C12" s="172">
        <v>750</v>
      </c>
      <c r="D12" s="825"/>
      <c r="E12" s="172"/>
      <c r="F12" s="172">
        <f t="shared" si="0"/>
        <v>750</v>
      </c>
      <c r="G12" s="172"/>
      <c r="H12" s="172">
        <f t="shared" si="1"/>
        <v>750</v>
      </c>
      <c r="I12" s="172"/>
      <c r="J12" s="238">
        <f t="shared" si="2"/>
        <v>0</v>
      </c>
      <c r="K12" s="172"/>
      <c r="L12" s="172">
        <f t="shared" si="3"/>
        <v>750</v>
      </c>
      <c r="M12" s="172"/>
      <c r="N12" s="172"/>
      <c r="O12" s="172"/>
      <c r="P12" s="172">
        <f>+N12+O12</f>
        <v>0</v>
      </c>
      <c r="Q12" s="172"/>
      <c r="R12" s="172">
        <f>+Q12-P12</f>
        <v>0</v>
      </c>
    </row>
    <row r="13" spans="1:18" s="173" customFormat="1" x14ac:dyDescent="0.2">
      <c r="A13" s="828">
        <v>11</v>
      </c>
      <c r="B13" s="876" t="s">
        <v>520</v>
      </c>
      <c r="C13" s="172">
        <v>1500</v>
      </c>
      <c r="D13" s="825"/>
      <c r="E13" s="172"/>
      <c r="F13" s="172">
        <f t="shared" si="0"/>
        <v>1500</v>
      </c>
      <c r="G13" s="172"/>
      <c r="H13" s="172">
        <f t="shared" si="1"/>
        <v>1500</v>
      </c>
      <c r="I13" s="172"/>
      <c r="J13" s="238">
        <f t="shared" si="2"/>
        <v>0</v>
      </c>
      <c r="K13" s="172"/>
      <c r="L13" s="172">
        <f t="shared" si="3"/>
        <v>1500</v>
      </c>
      <c r="M13" s="172"/>
      <c r="N13" s="172"/>
      <c r="O13" s="172"/>
      <c r="P13" s="172"/>
      <c r="Q13" s="172"/>
      <c r="R13" s="172"/>
    </row>
    <row r="14" spans="1:18" s="173" customFormat="1" ht="13.5" thickBot="1" x14ac:dyDescent="0.25">
      <c r="A14" s="877">
        <v>12</v>
      </c>
      <c r="B14" s="878" t="s">
        <v>521</v>
      </c>
      <c r="C14" s="179">
        <v>3000</v>
      </c>
      <c r="D14" s="825"/>
      <c r="E14" s="172"/>
      <c r="F14" s="172">
        <f t="shared" si="0"/>
        <v>3000</v>
      </c>
      <c r="G14" s="172"/>
      <c r="H14" s="172">
        <f t="shared" si="1"/>
        <v>3000</v>
      </c>
      <c r="I14" s="172"/>
      <c r="J14" s="238">
        <f t="shared" si="2"/>
        <v>0</v>
      </c>
      <c r="K14" s="172"/>
      <c r="L14" s="172">
        <f t="shared" si="3"/>
        <v>3000</v>
      </c>
      <c r="M14" s="172"/>
      <c r="N14" s="172"/>
      <c r="O14" s="172"/>
      <c r="P14" s="172"/>
      <c r="Q14" s="172"/>
      <c r="R14" s="172"/>
    </row>
    <row r="15" spans="1:18" ht="13.5" thickBot="1" x14ac:dyDescent="0.25">
      <c r="A15" s="827"/>
      <c r="B15" s="51" t="s">
        <v>458</v>
      </c>
      <c r="C15" s="174">
        <f>SUM(C3:C14)</f>
        <v>33450</v>
      </c>
      <c r="D15" s="826"/>
      <c r="E15" s="174">
        <f>SUM(E3:E14)</f>
        <v>0</v>
      </c>
      <c r="F15" s="174">
        <f>SUM(F3:F14)</f>
        <v>32950</v>
      </c>
      <c r="G15" s="174">
        <f>SUM(G3:G14)</f>
        <v>0</v>
      </c>
      <c r="H15" s="174">
        <f>SUM(H3:H14)</f>
        <v>29650</v>
      </c>
      <c r="I15" s="174">
        <f>SUM(I3:I14)</f>
        <v>0</v>
      </c>
      <c r="J15" s="241">
        <f t="shared" si="2"/>
        <v>0</v>
      </c>
      <c r="K15" s="174">
        <f t="shared" ref="K15:R15" si="4">SUM(K3:K14)</f>
        <v>0</v>
      </c>
      <c r="L15" s="174">
        <f t="shared" si="4"/>
        <v>29650</v>
      </c>
      <c r="M15" s="174">
        <f t="shared" si="4"/>
        <v>0</v>
      </c>
      <c r="N15" s="174">
        <f t="shared" si="4"/>
        <v>0</v>
      </c>
      <c r="O15" s="174">
        <f t="shared" si="4"/>
        <v>0</v>
      </c>
      <c r="P15" s="174">
        <f t="shared" si="4"/>
        <v>0</v>
      </c>
      <c r="Q15" s="174">
        <f t="shared" si="4"/>
        <v>0</v>
      </c>
      <c r="R15" s="174">
        <f t="shared" si="4"/>
        <v>0</v>
      </c>
    </row>
    <row r="16" spans="1:18" x14ac:dyDescent="0.2">
      <c r="M16" s="173"/>
      <c r="N16" s="173"/>
      <c r="O16" s="173"/>
      <c r="P16" s="173"/>
      <c r="Q16" s="173"/>
      <c r="R16" s="171">
        <f>+Q16-P16</f>
        <v>0</v>
      </c>
    </row>
    <row r="17" spans="2:18" x14ac:dyDescent="0.2">
      <c r="M17" s="173"/>
      <c r="N17" s="173"/>
      <c r="O17" s="173"/>
      <c r="P17" s="173"/>
      <c r="Q17" s="173"/>
      <c r="R17" s="171">
        <f>+Q17-P17</f>
        <v>0</v>
      </c>
    </row>
    <row r="18" spans="2:18" x14ac:dyDescent="0.2">
      <c r="L18" s="171" t="s">
        <v>198</v>
      </c>
      <c r="M18" s="242" t="e">
        <f>-#REF!-#REF!-#REF!-#REF!-#REF!</f>
        <v>#REF!</v>
      </c>
      <c r="O18" s="240"/>
    </row>
    <row r="20" spans="2:18" x14ac:dyDescent="0.2">
      <c r="B20" s="171" t="s">
        <v>137</v>
      </c>
    </row>
  </sheetData>
  <mergeCells count="1">
    <mergeCell ref="A1:C1"/>
  </mergeCells>
  <phoneticPr fontId="11" type="noConversion"/>
  <printOptions horizontalCentered="1" verticalCentered="1"/>
  <pageMargins left="0.23622047244094491" right="0.23622047244094491" top="1.1417322834645669" bottom="0.78740157480314965" header="0.70866141732283472" footer="0.51181102362204722"/>
  <pageSetup paperSize="9" scale="85" orientation="portrait" horizontalDpi="4294967294" r:id="rId1"/>
  <headerFooter alignWithMargins="0">
    <oddHeader>&amp;L6.2. sz.melléklet&amp;C&amp;"Arial,Félkövér"Nagykovácsi Önkormányzat
 2017. évi költségvetésének felhalmozási előirányzatai feladatonként
&amp;Radatok eFt-ban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/>
  <dimension ref="A1:P37"/>
  <sheetViews>
    <sheetView topLeftCell="A13" zoomScale="90" zoomScaleNormal="90" workbookViewId="0">
      <selection activeCell="D34" sqref="D34"/>
    </sheetView>
  </sheetViews>
  <sheetFormatPr defaultRowHeight="12.75" x14ac:dyDescent="0.2"/>
  <cols>
    <col min="1" max="1" width="12.5703125" style="375" customWidth="1"/>
    <col min="2" max="2" width="77.28515625" style="375" customWidth="1"/>
    <col min="3" max="3" width="16.7109375" style="375" hidden="1" customWidth="1"/>
    <col min="4" max="4" width="16.7109375" style="375" customWidth="1"/>
    <col min="5" max="5" width="16.7109375" style="375" hidden="1" customWidth="1"/>
    <col min="6" max="6" width="16.7109375" hidden="1" customWidth="1"/>
    <col min="7" max="8" width="16.7109375" style="375" hidden="1" customWidth="1"/>
  </cols>
  <sheetData>
    <row r="1" spans="1:8" ht="16.5" thickBot="1" x14ac:dyDescent="0.3">
      <c r="A1" s="80"/>
      <c r="G1" s="3"/>
      <c r="H1" s="3"/>
    </row>
    <row r="2" spans="1:8" s="8" customFormat="1" ht="15.75" customHeight="1" x14ac:dyDescent="0.2">
      <c r="A2" s="934" t="s">
        <v>66</v>
      </c>
      <c r="B2" s="81" t="s">
        <v>3</v>
      </c>
      <c r="C2" s="937" t="s">
        <v>67</v>
      </c>
      <c r="D2" s="938"/>
      <c r="E2" s="938"/>
      <c r="F2" s="938"/>
      <c r="G2" s="938"/>
      <c r="H2" s="939"/>
    </row>
    <row r="3" spans="1:8" s="8" customFormat="1" ht="13.5" thickBot="1" x14ac:dyDescent="0.25">
      <c r="A3" s="935"/>
      <c r="B3" s="82" t="s">
        <v>68</v>
      </c>
      <c r="C3" s="940" t="s">
        <v>21</v>
      </c>
      <c r="D3" s="941"/>
      <c r="E3" s="941"/>
      <c r="F3" s="941"/>
      <c r="G3" s="941"/>
      <c r="H3" s="942"/>
    </row>
    <row r="4" spans="1:8" s="8" customFormat="1" ht="52.5" customHeight="1" thickBot="1" x14ac:dyDescent="0.25">
      <c r="A4" s="936"/>
      <c r="B4" s="83"/>
      <c r="C4" s="376" t="s">
        <v>69</v>
      </c>
      <c r="D4" s="376" t="s">
        <v>145</v>
      </c>
      <c r="E4" s="84" t="s">
        <v>175</v>
      </c>
      <c r="F4" s="84" t="s">
        <v>43</v>
      </c>
      <c r="G4" s="376" t="s">
        <v>70</v>
      </c>
      <c r="H4" s="376" t="s">
        <v>4</v>
      </c>
    </row>
    <row r="5" spans="1:8" s="8" customFormat="1" ht="18" customHeight="1" thickBot="1" x14ac:dyDescent="0.25">
      <c r="A5" s="85">
        <v>1</v>
      </c>
      <c r="B5" s="86">
        <v>2</v>
      </c>
      <c r="C5" s="377">
        <v>3</v>
      </c>
      <c r="D5" s="377">
        <v>4</v>
      </c>
      <c r="E5" s="86">
        <v>5</v>
      </c>
      <c r="F5" s="86">
        <v>6</v>
      </c>
      <c r="G5" s="377">
        <v>7</v>
      </c>
      <c r="H5" s="377">
        <v>8</v>
      </c>
    </row>
    <row r="6" spans="1:8" ht="18" customHeight="1" thickBot="1" x14ac:dyDescent="0.25">
      <c r="A6" s="87" t="s">
        <v>71</v>
      </c>
      <c r="B6" s="88" t="s">
        <v>72</v>
      </c>
      <c r="C6" s="378">
        <v>1</v>
      </c>
      <c r="D6" s="381"/>
      <c r="E6" s="90"/>
      <c r="F6" s="370"/>
      <c r="G6" s="381"/>
      <c r="H6" s="382">
        <f t="shared" ref="H6:H27" si="0">SUM(C6:G6)</f>
        <v>1</v>
      </c>
    </row>
    <row r="7" spans="1:8" ht="18.75" customHeight="1" thickBot="1" x14ac:dyDescent="0.25">
      <c r="A7" s="91">
        <v>140040</v>
      </c>
      <c r="B7" s="92" t="s">
        <v>73</v>
      </c>
      <c r="C7" s="379">
        <v>1</v>
      </c>
      <c r="D7" s="379"/>
      <c r="E7" s="93"/>
      <c r="F7" s="371"/>
      <c r="G7" s="379"/>
      <c r="H7" s="382">
        <f t="shared" si="0"/>
        <v>1</v>
      </c>
    </row>
    <row r="8" spans="1:8" ht="26.25" thickBot="1" x14ac:dyDescent="0.25">
      <c r="A8" s="91" t="s">
        <v>74</v>
      </c>
      <c r="B8" s="92" t="s">
        <v>75</v>
      </c>
      <c r="C8" s="379">
        <v>15</v>
      </c>
      <c r="D8" s="379"/>
      <c r="E8" s="93"/>
      <c r="F8" s="371"/>
      <c r="G8" s="379"/>
      <c r="H8" s="382">
        <f t="shared" si="0"/>
        <v>15</v>
      </c>
    </row>
    <row r="9" spans="1:8" ht="26.25" thickBot="1" x14ac:dyDescent="0.25">
      <c r="A9" s="91" t="s">
        <v>74</v>
      </c>
      <c r="B9" s="92" t="s">
        <v>76</v>
      </c>
      <c r="C9" s="379">
        <v>8</v>
      </c>
      <c r="D9" s="379"/>
      <c r="E9" s="93"/>
      <c r="F9" s="371"/>
      <c r="G9" s="379"/>
      <c r="H9" s="382">
        <f t="shared" si="0"/>
        <v>8</v>
      </c>
    </row>
    <row r="10" spans="1:8" s="8" customFormat="1" ht="20.25" customHeight="1" thickBot="1" x14ac:dyDescent="0.25">
      <c r="A10" s="943" t="s">
        <v>77</v>
      </c>
      <c r="B10" s="944"/>
      <c r="C10" s="380">
        <f>SUM(C6:C9)</f>
        <v>25</v>
      </c>
      <c r="D10" s="380">
        <f>SUM(D6:D9)</f>
        <v>0</v>
      </c>
      <c r="E10" s="94">
        <f>SUM(E6:E9)</f>
        <v>0</v>
      </c>
      <c r="F10" s="372">
        <f>SUM(F6:F9)</f>
        <v>0</v>
      </c>
      <c r="G10" s="380">
        <f>SUM(G6:G9)</f>
        <v>0</v>
      </c>
      <c r="H10" s="382">
        <f t="shared" si="0"/>
        <v>25</v>
      </c>
    </row>
    <row r="11" spans="1:8" ht="19.5" customHeight="1" thickBot="1" x14ac:dyDescent="0.25">
      <c r="A11" s="91">
        <v>31</v>
      </c>
      <c r="B11" s="92" t="s">
        <v>78</v>
      </c>
      <c r="C11" s="379"/>
      <c r="D11" s="379"/>
      <c r="E11" s="89">
        <v>1</v>
      </c>
      <c r="F11" s="371"/>
      <c r="G11" s="379"/>
      <c r="H11" s="382">
        <f t="shared" si="0"/>
        <v>1</v>
      </c>
    </row>
    <row r="12" spans="1:8" ht="18" customHeight="1" thickBot="1" x14ac:dyDescent="0.25">
      <c r="A12" s="91">
        <v>31</v>
      </c>
      <c r="B12" s="92" t="s">
        <v>79</v>
      </c>
      <c r="C12" s="379"/>
      <c r="D12" s="379"/>
      <c r="E12" s="89">
        <v>3</v>
      </c>
      <c r="F12" s="371"/>
      <c r="G12" s="379"/>
      <c r="H12" s="382">
        <f t="shared" si="0"/>
        <v>3</v>
      </c>
    </row>
    <row r="13" spans="1:8" ht="26.25" thickBot="1" x14ac:dyDescent="0.25">
      <c r="A13" s="91" t="s">
        <v>80</v>
      </c>
      <c r="B13" s="92" t="s">
        <v>81</v>
      </c>
      <c r="C13" s="379"/>
      <c r="D13" s="379"/>
      <c r="E13" s="89">
        <v>3</v>
      </c>
      <c r="F13" s="371"/>
      <c r="G13" s="379"/>
      <c r="H13" s="382">
        <f t="shared" si="0"/>
        <v>3</v>
      </c>
    </row>
    <row r="14" spans="1:8" ht="26.25" thickBot="1" x14ac:dyDescent="0.25">
      <c r="A14" s="91" t="s">
        <v>82</v>
      </c>
      <c r="B14" s="92" t="s">
        <v>83</v>
      </c>
      <c r="C14" s="379"/>
      <c r="D14" s="379"/>
      <c r="E14" s="89">
        <v>8</v>
      </c>
      <c r="F14" s="371"/>
      <c r="G14" s="379"/>
      <c r="H14" s="382">
        <f t="shared" si="0"/>
        <v>8</v>
      </c>
    </row>
    <row r="15" spans="1:8" ht="26.25" thickBot="1" x14ac:dyDescent="0.25">
      <c r="A15" s="91" t="s">
        <v>84</v>
      </c>
      <c r="B15" s="92" t="s">
        <v>85</v>
      </c>
      <c r="C15" s="379"/>
      <c r="D15" s="379"/>
      <c r="E15" s="89">
        <v>2</v>
      </c>
      <c r="F15" s="371"/>
      <c r="G15" s="379"/>
      <c r="H15" s="382">
        <f t="shared" si="0"/>
        <v>2</v>
      </c>
    </row>
    <row r="16" spans="1:8" ht="26.25" thickBot="1" x14ac:dyDescent="0.25">
      <c r="A16" s="91" t="s">
        <v>86</v>
      </c>
      <c r="B16" s="92" t="s">
        <v>87</v>
      </c>
      <c r="C16" s="379"/>
      <c r="D16" s="379"/>
      <c r="E16" s="89">
        <v>10</v>
      </c>
      <c r="F16" s="371"/>
      <c r="G16" s="379"/>
      <c r="H16" s="382">
        <f t="shared" si="0"/>
        <v>10</v>
      </c>
    </row>
    <row r="17" spans="1:16" ht="26.25" thickBot="1" x14ac:dyDescent="0.25">
      <c r="A17" s="91" t="s">
        <v>243</v>
      </c>
      <c r="B17" s="92" t="s">
        <v>89</v>
      </c>
      <c r="C17" s="379"/>
      <c r="D17" s="379">
        <v>2</v>
      </c>
      <c r="E17" s="89">
        <v>3</v>
      </c>
      <c r="F17" s="371"/>
      <c r="G17" s="379">
        <v>2</v>
      </c>
      <c r="H17" s="382">
        <f>SUM(C17:G17)</f>
        <v>7</v>
      </c>
    </row>
    <row r="18" spans="1:16" ht="26.25" thickBot="1" x14ac:dyDescent="0.25">
      <c r="A18" s="91" t="s">
        <v>90</v>
      </c>
      <c r="B18" s="92" t="s">
        <v>91</v>
      </c>
      <c r="C18" s="379"/>
      <c r="D18" s="379">
        <v>2</v>
      </c>
      <c r="E18" s="89"/>
      <c r="F18" s="371"/>
      <c r="G18" s="379">
        <v>1</v>
      </c>
      <c r="H18" s="382"/>
    </row>
    <row r="19" spans="1:16" ht="26.25" thickBot="1" x14ac:dyDescent="0.25">
      <c r="A19" s="91" t="s">
        <v>92</v>
      </c>
      <c r="B19" s="92" t="s">
        <v>93</v>
      </c>
      <c r="C19" s="379"/>
      <c r="D19" s="379"/>
      <c r="E19" s="89"/>
      <c r="F19" s="371"/>
      <c r="G19" s="379">
        <v>1</v>
      </c>
      <c r="H19" s="382"/>
    </row>
    <row r="20" spans="1:16" s="8" customFormat="1" ht="19.5" customHeight="1" thickBot="1" x14ac:dyDescent="0.25">
      <c r="A20" s="91" t="s">
        <v>88</v>
      </c>
      <c r="B20" s="92" t="s">
        <v>240</v>
      </c>
      <c r="C20" s="379"/>
      <c r="D20" s="378"/>
      <c r="E20" s="89">
        <v>1</v>
      </c>
      <c r="F20" s="371"/>
      <c r="G20" s="379"/>
      <c r="H20" s="382">
        <f t="shared" si="0"/>
        <v>1</v>
      </c>
    </row>
    <row r="21" spans="1:16" ht="26.25" thickBot="1" x14ac:dyDescent="0.25">
      <c r="A21" s="91" t="s">
        <v>90</v>
      </c>
      <c r="B21" s="92" t="s">
        <v>241</v>
      </c>
      <c r="C21" s="379"/>
      <c r="D21" s="379"/>
      <c r="E21" s="89">
        <v>23</v>
      </c>
      <c r="F21" s="371"/>
      <c r="G21" s="379"/>
      <c r="H21" s="382">
        <f t="shared" si="0"/>
        <v>23</v>
      </c>
    </row>
    <row r="22" spans="1:16" ht="17.25" customHeight="1" thickBot="1" x14ac:dyDescent="0.25">
      <c r="A22" s="91" t="s">
        <v>92</v>
      </c>
      <c r="B22" s="92" t="s">
        <v>242</v>
      </c>
      <c r="C22" s="379"/>
      <c r="D22" s="379"/>
      <c r="E22" s="89"/>
      <c r="F22" s="371"/>
      <c r="G22" s="379"/>
      <c r="H22" s="382">
        <f t="shared" si="0"/>
        <v>0</v>
      </c>
    </row>
    <row r="23" spans="1:16" s="8" customFormat="1" ht="20.25" customHeight="1" thickBot="1" x14ac:dyDescent="0.25">
      <c r="A23" s="932" t="s">
        <v>94</v>
      </c>
      <c r="B23" s="933"/>
      <c r="C23" s="380">
        <f>SUM(C11:C22)</f>
        <v>0</v>
      </c>
      <c r="D23" s="380">
        <f>SUM(D11:D22)</f>
        <v>4</v>
      </c>
      <c r="E23" s="94">
        <f>SUM(E11:E22)</f>
        <v>54</v>
      </c>
      <c r="F23" s="372">
        <f>SUM(F11:F22)</f>
        <v>0</v>
      </c>
      <c r="G23" s="380">
        <f>SUM(G11:G22)</f>
        <v>4</v>
      </c>
      <c r="H23" s="382">
        <f t="shared" si="0"/>
        <v>62</v>
      </c>
    </row>
    <row r="24" spans="1:16" s="8" customFormat="1" ht="20.25" customHeight="1" thickBot="1" x14ac:dyDescent="0.25">
      <c r="A24" s="91" t="s">
        <v>95</v>
      </c>
      <c r="B24" s="95" t="s">
        <v>96</v>
      </c>
      <c r="C24" s="379"/>
      <c r="D24" s="379"/>
      <c r="E24" s="93"/>
      <c r="F24" s="371"/>
      <c r="G24" s="379"/>
      <c r="H24" s="382">
        <f t="shared" si="0"/>
        <v>0</v>
      </c>
    </row>
    <row r="25" spans="1:16" ht="13.5" thickBot="1" x14ac:dyDescent="0.25">
      <c r="A25" s="96">
        <v>888888</v>
      </c>
      <c r="B25" s="97" t="s">
        <v>97</v>
      </c>
      <c r="C25" s="379"/>
      <c r="D25" s="379"/>
      <c r="E25" s="93"/>
      <c r="F25" s="371"/>
      <c r="G25" s="379"/>
      <c r="H25" s="382">
        <f t="shared" si="0"/>
        <v>0</v>
      </c>
    </row>
    <row r="26" spans="1:16" ht="13.5" thickBot="1" x14ac:dyDescent="0.25">
      <c r="A26" s="943" t="s">
        <v>98</v>
      </c>
      <c r="B26" s="945"/>
      <c r="C26" s="380">
        <f>SUM(C24:C25)</f>
        <v>0</v>
      </c>
      <c r="D26" s="380">
        <f>SUM(D24:D25)</f>
        <v>0</v>
      </c>
      <c r="E26" s="94">
        <f>SUM(E24:E25)</f>
        <v>0</v>
      </c>
      <c r="F26" s="372">
        <f>SUM(F24:F25)</f>
        <v>0</v>
      </c>
      <c r="G26" s="380">
        <f>SUM(G24:G25)</f>
        <v>0</v>
      </c>
      <c r="H26" s="382">
        <f t="shared" si="0"/>
        <v>0</v>
      </c>
    </row>
    <row r="27" spans="1:16" ht="13.5" thickBot="1" x14ac:dyDescent="0.25">
      <c r="A27" s="932" t="s">
        <v>99</v>
      </c>
      <c r="B27" s="933"/>
      <c r="C27" s="380">
        <f>SUM(C10,C23,C26)</f>
        <v>25</v>
      </c>
      <c r="D27" s="380">
        <f>SUM(D10,D23,D26)</f>
        <v>4</v>
      </c>
      <c r="E27" s="94">
        <f>SUM(E10,E23,E26)</f>
        <v>54</v>
      </c>
      <c r="F27" s="372">
        <f>SUM(F10,F23,F26)</f>
        <v>0</v>
      </c>
      <c r="G27" s="380">
        <f>SUM(G10,G23,G26)</f>
        <v>4</v>
      </c>
      <c r="H27" s="382">
        <f t="shared" si="0"/>
        <v>87</v>
      </c>
      <c r="J27" s="216"/>
      <c r="K27" s="216"/>
      <c r="L27" s="216"/>
      <c r="M27" s="216"/>
      <c r="N27" s="216"/>
      <c r="O27" s="216"/>
      <c r="P27" s="216"/>
    </row>
    <row r="28" spans="1:16" ht="15.75" x14ac:dyDescent="0.25">
      <c r="A28" s="80"/>
      <c r="J28" s="216"/>
      <c r="K28" s="216"/>
      <c r="L28" s="216"/>
      <c r="M28" s="216"/>
      <c r="N28" s="216"/>
      <c r="O28" s="216"/>
      <c r="P28" s="216"/>
    </row>
    <row r="29" spans="1:16" x14ac:dyDescent="0.2">
      <c r="H29" s="383"/>
      <c r="J29" s="216"/>
      <c r="K29" s="216"/>
      <c r="L29" s="216"/>
      <c r="M29" s="216"/>
      <c r="N29" s="216"/>
      <c r="O29" s="216"/>
      <c r="P29" s="216"/>
    </row>
    <row r="30" spans="1:16" x14ac:dyDescent="0.2">
      <c r="J30" s="216"/>
      <c r="K30" s="216"/>
      <c r="L30" s="216"/>
      <c r="M30" s="216"/>
      <c r="N30" s="216"/>
      <c r="O30" s="216"/>
      <c r="P30" s="216"/>
    </row>
    <row r="31" spans="1:16" x14ac:dyDescent="0.2">
      <c r="J31" s="216"/>
      <c r="K31" s="216"/>
      <c r="L31" s="216"/>
      <c r="M31" s="216"/>
      <c r="N31" s="216"/>
      <c r="O31" s="216"/>
      <c r="P31" s="216"/>
    </row>
    <row r="32" spans="1:16" x14ac:dyDescent="0.2">
      <c r="J32" s="216"/>
      <c r="K32" s="216"/>
      <c r="L32" s="216"/>
      <c r="M32" s="216"/>
      <c r="N32" s="216"/>
      <c r="O32" s="216"/>
      <c r="P32" s="216"/>
    </row>
    <row r="33" spans="10:16" x14ac:dyDescent="0.2">
      <c r="J33" s="216"/>
      <c r="K33" s="216"/>
      <c r="L33" s="216"/>
      <c r="M33" s="216"/>
      <c r="N33" s="216"/>
      <c r="O33" s="216"/>
      <c r="P33" s="216"/>
    </row>
    <row r="34" spans="10:16" x14ac:dyDescent="0.2">
      <c r="J34" s="216"/>
      <c r="K34" s="216"/>
      <c r="L34" s="216"/>
      <c r="M34" s="216"/>
      <c r="N34" s="216"/>
      <c r="O34" s="216"/>
      <c r="P34" s="216"/>
    </row>
    <row r="35" spans="10:16" x14ac:dyDescent="0.2">
      <c r="J35" s="216"/>
      <c r="K35" s="216"/>
      <c r="L35" s="216"/>
      <c r="M35" s="216"/>
      <c r="N35" s="216"/>
      <c r="O35" s="216"/>
      <c r="P35" s="216"/>
    </row>
    <row r="36" spans="10:16" x14ac:dyDescent="0.2">
      <c r="J36" s="216"/>
      <c r="K36" s="216"/>
      <c r="L36" s="216"/>
      <c r="M36" s="216"/>
      <c r="N36" s="216"/>
      <c r="O36" s="216"/>
      <c r="P36" s="216"/>
    </row>
    <row r="37" spans="10:16" x14ac:dyDescent="0.2">
      <c r="J37" s="216"/>
      <c r="K37" s="216"/>
      <c r="L37" s="216"/>
      <c r="M37" s="216"/>
      <c r="N37" s="216"/>
      <c r="O37" s="216"/>
      <c r="P37" s="216"/>
    </row>
  </sheetData>
  <mergeCells count="7">
    <mergeCell ref="A27:B27"/>
    <mergeCell ref="A23:B23"/>
    <mergeCell ref="A2:A4"/>
    <mergeCell ref="C2:H2"/>
    <mergeCell ref="C3:H3"/>
    <mergeCell ref="A10:B10"/>
    <mergeCell ref="A26:B26"/>
  </mergeCells>
  <phoneticPr fontId="11" type="noConversion"/>
  <printOptions horizontalCentered="1"/>
  <pageMargins left="0.35433070866141736" right="0.27559055118110237" top="1.3779527559055118" bottom="0.98425196850393704" header="0.51181102362204722" footer="0.51181102362204722"/>
  <pageSetup paperSize="9" scale="73" orientation="landscape" r:id="rId1"/>
  <headerFooter alignWithMargins="0">
    <oddHeader>&amp;L6/A sz.melléklet&amp;C&amp;"Arial,Félkövér"&amp;12Nagykovácsi  Nagyközség Önkormányzatának éves létszám-előirányzata
2014. év</oddHeader>
    <oddFooter>&amp;L&amp;D&amp;C&amp;P&amp;R&amp;F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6625F65341E72C4FAB660EF766C15509" ma:contentTypeVersion="0" ma:contentTypeDescription="Új dokumentum létrehozása." ma:contentTypeScope="" ma:versionID="985b396ed4d19b9fd25410c95487bcb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d5a17be1c5f0116587a69add3ef76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109C0E-ECB3-430D-ADC3-27B86C91E111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8603CBA-D753-401B-A044-D96258531A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4994694-3B80-4A96-A8D9-F878CBF18B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16</vt:i4>
      </vt:variant>
    </vt:vector>
  </HeadingPairs>
  <TitlesOfParts>
    <vt:vector size="37" baseType="lpstr">
      <vt:lpstr>3. sz. m._kiadások-bevételek</vt:lpstr>
      <vt:lpstr>1A. melléklet_BEVÉTEL_KIADÁS</vt:lpstr>
      <vt:lpstr>4.sz.m.Bevételek</vt:lpstr>
      <vt:lpstr>4.2. sz.m_felh.bev.</vt:lpstr>
      <vt:lpstr>3.2.sz.mfelh.bev.részl ÁFA külö</vt:lpstr>
      <vt:lpstr>5. sz. m. Állami támogatások</vt:lpstr>
      <vt:lpstr>6.sz.m.Kiadások</vt:lpstr>
      <vt:lpstr>6.2. sz.m.felh.kiadás</vt:lpstr>
      <vt:lpstr>6A.sz.m.létszám-előir. </vt:lpstr>
      <vt:lpstr>7.sz.Műk.c.átadott.pe. </vt:lpstr>
      <vt:lpstr>7.2.sz.Felh.c.átadott pe.</vt:lpstr>
      <vt:lpstr>8.sz.m Tartalékok</vt:lpstr>
      <vt:lpstr>9.sz.m.ütemterv</vt:lpstr>
      <vt:lpstr>10.sz. m.hitelállomány</vt:lpstr>
      <vt:lpstr>10.sz. korábbi évek kötelezetts</vt:lpstr>
      <vt:lpstr>11.sz.m.pályázati bevét</vt:lpstr>
      <vt:lpstr>13.sz.m. Műk_felhalm mérleg</vt:lpstr>
      <vt:lpstr>12.sz.m.kedvezmények</vt:lpstr>
      <vt:lpstr>13.sz.m.létszám-előir. </vt:lpstr>
      <vt:lpstr>Tájékoztató 1. többéves kihatás</vt:lpstr>
      <vt:lpstr>15.sz. m Önként vállalt</vt:lpstr>
      <vt:lpstr>'4.sz.m.Bevételek'!Nyomtatási_cím</vt:lpstr>
      <vt:lpstr>'10.sz. korábbi évek kötelezetts'!Nyomtatási_terület</vt:lpstr>
      <vt:lpstr>'11.sz.m.pályázati bevét'!Nyomtatási_terület</vt:lpstr>
      <vt:lpstr>'13.sz.m. Műk_felhalm mérleg'!Nyomtatási_terület</vt:lpstr>
      <vt:lpstr>'15.sz. m Önként vállalt'!Nyomtatási_terület</vt:lpstr>
      <vt:lpstr>'1A. melléklet_BEVÉTEL_KIADÁS'!Nyomtatási_terület</vt:lpstr>
      <vt:lpstr>'3. sz. m._kiadások-bevételek'!Nyomtatási_terület</vt:lpstr>
      <vt:lpstr>'3.2.sz.mfelh.bev.részl ÁFA külö'!Nyomtatási_terület</vt:lpstr>
      <vt:lpstr>'4.2. sz.m_felh.bev.'!Nyomtatási_terület</vt:lpstr>
      <vt:lpstr>'4.sz.m.Bevételek'!Nyomtatási_terület</vt:lpstr>
      <vt:lpstr>'5. sz. m. Állami támogatások'!Nyomtatási_terület</vt:lpstr>
      <vt:lpstr>'6.2. sz.m.felh.kiadás'!Nyomtatási_terület</vt:lpstr>
      <vt:lpstr>'6.sz.m.Kiadások'!Nyomtatási_terület</vt:lpstr>
      <vt:lpstr>'7.sz.Műk.c.átadott.pe. '!Nyomtatási_terület</vt:lpstr>
      <vt:lpstr>'8.sz.m Tartalékok'!Nyomtatási_terület</vt:lpstr>
      <vt:lpstr>'9.sz.m.ütemterv'!Nyomtatási_terület</vt:lpstr>
    </vt:vector>
  </TitlesOfParts>
  <Company>Polgármesteri Hivatal Nagykovácsi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fulopgyorgynemarika</dc:creator>
  <cp:lastModifiedBy>Perlaki Zoltán</cp:lastModifiedBy>
  <cp:lastPrinted>2017-02-15T13:48:50Z</cp:lastPrinted>
  <dcterms:created xsi:type="dcterms:W3CDTF">2008-07-24T13:43:35Z</dcterms:created>
  <dcterms:modified xsi:type="dcterms:W3CDTF">2017-02-15T13:55:30Z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0x0101006625F65341E72C4FAB660EF766C15509</vt:lpwstr>
  </property>
</Properties>
</file>